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ТП" sheetId="1" state="hidden" r:id="rId1"/>
    <sheet name=" " sheetId="2" r:id="rId2"/>
    <sheet name="ЭК_201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 '!#REF!</definedName>
    <definedName name="_xlnm.Print_Area" localSheetId="2">'ЭК_2013'!$A$1:$F$30</definedName>
  </definedNames>
  <calcPr fullCalcOnLoad="1"/>
</workbook>
</file>

<file path=xl/comments1.xml><?xml version="1.0" encoding="utf-8"?>
<comments xmlns="http://schemas.openxmlformats.org/spreadsheetml/2006/main">
  <authors>
    <author>Vishniakov_AV</author>
  </authors>
  <commentList>
    <comment ref="B7" authorId="0">
      <text>
        <r>
          <rPr>
            <b/>
            <sz val="8"/>
            <rFont val="Tahoma"/>
            <family val="2"/>
          </rPr>
          <t>21,01 было до 24.06.2010</t>
        </r>
      </text>
    </comment>
  </commentList>
</comments>
</file>

<file path=xl/comments3.xml><?xml version="1.0" encoding="utf-8"?>
<comments xmlns="http://schemas.openxmlformats.org/spreadsheetml/2006/main">
  <authors>
    <author>Vishniakov_AV</author>
  </authors>
  <commentList>
    <comment ref="D11" authorId="0">
      <text>
        <r>
          <rPr>
            <sz val="8"/>
            <rFont val="Tahoma"/>
            <family val="2"/>
          </rPr>
          <t>вспомогательные материалы, работы и услуги произв. характера</t>
        </r>
      </text>
    </comment>
    <comment ref="D15" authorId="0">
      <text>
        <r>
          <rPr>
            <b/>
            <sz val="8"/>
            <rFont val="Tahoma"/>
            <family val="2"/>
          </rPr>
          <t>прочие расходы</t>
        </r>
      </text>
    </comment>
    <comment ref="D21" authorId="0">
      <text>
        <r>
          <rPr>
            <sz val="8"/>
            <rFont val="Tahoma"/>
            <family val="2"/>
          </rPr>
          <t>налог на землю, водный налог, налог на имущество</t>
        </r>
      </text>
    </comment>
    <comment ref="D23" authorId="0">
      <text>
        <r>
          <rPr>
            <sz val="8"/>
            <rFont val="Tahoma"/>
            <family val="2"/>
          </rPr>
          <t>амортизация, энергия на хоз. нужды</t>
        </r>
      </text>
    </comment>
  </commentList>
</comments>
</file>

<file path=xl/sharedStrings.xml><?xml version="1.0" encoding="utf-8"?>
<sst xmlns="http://schemas.openxmlformats.org/spreadsheetml/2006/main" count="427" uniqueCount="105">
  <si>
    <t>факт</t>
  </si>
  <si>
    <t>Примечание</t>
  </si>
  <si>
    <t>тыс. руб.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</si>
  <si>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</si>
  <si>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</si>
  <si>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</t>
  </si>
  <si>
    <t>Материальные расходы, всего</t>
  </si>
  <si>
    <t>1.1.1.1</t>
  </si>
  <si>
    <t>в том числе на ремонт</t>
  </si>
  <si>
    <t>1.1.2</t>
  </si>
  <si>
    <t>1.1.3</t>
  </si>
  <si>
    <t>1.2</t>
  </si>
  <si>
    <t>1.2.1</t>
  </si>
  <si>
    <t>1.2.2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</si>
  <si>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</si>
  <si>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</si>
  <si>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Прочие</t>
  </si>
  <si>
    <t>Всего</t>
  </si>
  <si>
    <t>Уровень напряжения</t>
  </si>
  <si>
    <t>ВН</t>
  </si>
  <si>
    <t>СН-I</t>
  </si>
  <si>
    <t>СН-II</t>
  </si>
  <si>
    <t>НН</t>
  </si>
  <si>
    <t>ИЭСбК (с РРЭМ)</t>
  </si>
  <si>
    <t>БЭС (ОРЭМ)</t>
  </si>
  <si>
    <t>РУСЭС (ОРЭМ)</t>
  </si>
  <si>
    <t>БрАЗ</t>
  </si>
  <si>
    <t>ИркАЗ</t>
  </si>
  <si>
    <t>ИЭ</t>
  </si>
  <si>
    <t>Итого</t>
  </si>
  <si>
    <t>Полезный отпуск энергия, млн. кВтч</t>
  </si>
  <si>
    <t>Полезный отпуск мощность, МВт</t>
  </si>
  <si>
    <t>Население</t>
  </si>
  <si>
    <t>Прочие + Население</t>
  </si>
  <si>
    <t>Товарная продукция по "котлу" по передаче в 2010 году</t>
  </si>
  <si>
    <t>Утв. 2010</t>
  </si>
  <si>
    <t>СН1</t>
  </si>
  <si>
    <t>СН2</t>
  </si>
  <si>
    <t>Ставки за энергию, руб./МВтч</t>
  </si>
  <si>
    <t>Ставки за мощность, руб./МВт.месяц</t>
  </si>
  <si>
    <t>Одноставочный, руб./МВтч</t>
  </si>
  <si>
    <t>Тарифная выручка (за энергию), МВт</t>
  </si>
  <si>
    <t>Тарифная выручка (за мощность), МВт</t>
  </si>
  <si>
    <t>Тарифная выручка (итого), МВт</t>
  </si>
  <si>
    <t>Котел</t>
  </si>
  <si>
    <t>ИЭСК</t>
  </si>
  <si>
    <t>ТСО</t>
  </si>
  <si>
    <t>Расходы на компенсацию потерь</t>
  </si>
  <si>
    <t>Объем потерь, млн.кВт.ч</t>
  </si>
  <si>
    <t>Рег. часть</t>
  </si>
  <si>
    <t>Нерег. часть</t>
  </si>
  <si>
    <t>Товарная продукция на компенсацию потерь, тыс. руб.</t>
  </si>
  <si>
    <t>Факт 2010</t>
  </si>
  <si>
    <t>БЭС</t>
  </si>
  <si>
    <t>РУСЭС</t>
  </si>
  <si>
    <t>Витим</t>
  </si>
  <si>
    <t>Единые "котловые" тарифы на передачу (Приказ СТ от 24.06.2010 №67-спр)</t>
  </si>
  <si>
    <t>контроль</t>
  </si>
  <si>
    <t>Витим (1/2)</t>
  </si>
  <si>
    <t>энергия</t>
  </si>
  <si>
    <t>мощность</t>
  </si>
  <si>
    <t>ИЭСбК (с ОКЭ 1/2)</t>
  </si>
  <si>
    <t>корректировка ОКЭ 1/2</t>
  </si>
  <si>
    <t>Отношение
 ПО факта к утв.</t>
  </si>
  <si>
    <t>Отклонение ПО факта от утв.</t>
  </si>
  <si>
    <t>Отклонение товарки факта от утв.</t>
  </si>
  <si>
    <t>Энергия, тыс. руб.</t>
  </si>
  <si>
    <t>Мощность, тыс. руб.</t>
  </si>
  <si>
    <t>Итого, тыс. руб.</t>
  </si>
  <si>
    <t>Ед.
изм.</t>
  </si>
  <si>
    <t>I</t>
  </si>
  <si>
    <t>1</t>
  </si>
  <si>
    <t>1.1</t>
  </si>
  <si>
    <t>II</t>
  </si>
  <si>
    <t>III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</si>
  <si>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</si>
  <si>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</si>
  <si>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</si>
  <si>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</si>
  <si>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</si>
  <si>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</si>
  <si>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1.1.1.2</t>
  </si>
  <si>
    <t>Прочие подконтрольные расходы</t>
  </si>
  <si>
    <t>расходы на капитальные вложения</t>
  </si>
  <si>
    <t>прочие неподконтрольные расходы</t>
  </si>
  <si>
    <t>Наименование показателя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</si>
  <si>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</si>
  <si>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Приложение №2</t>
  </si>
  <si>
    <t>к Приказу ФСТ России от 02.03.2011 №56-э</t>
  </si>
  <si>
    <t>1.2.3</t>
  </si>
  <si>
    <t>1.2.4</t>
  </si>
  <si>
    <t>1.2.5</t>
  </si>
  <si>
    <t>1.2.6</t>
  </si>
  <si>
    <t>1.2.7</t>
  </si>
  <si>
    <t>Подконтрольные расходы, всего, в том числе:</t>
  </si>
  <si>
    <t>Неподконтрольные расходы, включенные в НВВ, всего, в том числе:</t>
  </si>
  <si>
    <t>Справочно: расходы на ремонт, всего 
(п. 1.1.1.1 + п. 1.1.1.2)</t>
  </si>
  <si>
    <t>не выделено в экспертном заключении</t>
  </si>
  <si>
    <t>недополученный по независящим причинам доход (+) / избыток средств, полученный в предыдущем периоде регулирования (-)</t>
  </si>
  <si>
    <t>план</t>
  </si>
  <si>
    <t>Исполнительный директор                                                                                   В.Н. Труфанов</t>
  </si>
  <si>
    <t>2013 год</t>
  </si>
  <si>
    <t>арендная плата, услуги охраны, командировки, канцелярия и прочее</t>
  </si>
  <si>
    <t xml:space="preserve">В связи с проведением реконструкци на объекте Подстанция "Западная" (г.Иркутск) в штат организации приняты специалисты для реализации утвержденного проекта реконструкции. </t>
  </si>
  <si>
    <t>Учетены проценты по кредитному договору № 003/11/КЮР -03-8342 от 01.03.2011г., полученному на цели финансирования утвержденной программы реконструкции Подстанции "Западная" (по факту за 2012 г. оплачено процентов банку - 15372 тыс.руб).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</si>
</sst>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??_р_._-;_-@_-"/>
    <numFmt numFmtId="189" formatCode="_-* #,##0.0_р_._-;\-* #,##0.0_р_._-;_-* &quot;-&quot;???_р_._-;_-@_-"/>
    <numFmt numFmtId="190" formatCode="_-* #,##0_р_._-;\-* #,##0_р_._-;_-* &quot;-&quot;???_р_._-;_-@_-"/>
    <numFmt numFmtId="191" formatCode="0.0%"/>
    <numFmt numFmtId="192" formatCode="_(* #,##0.0000_);_(* \(#,##0.0000\);_(* &quot;-&quot;??_);_(@_)"/>
    <numFmt numFmtId="193" formatCode="#,##0.0"/>
    <numFmt numFmtId="194" formatCode="#,##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82" fontId="6" fillId="32" borderId="10" xfId="6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182" fontId="6" fillId="4" borderId="10" xfId="61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32" borderId="13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9" fillId="32" borderId="14" xfId="0" applyNumberFormat="1" applyFont="1" applyFill="1" applyBorder="1" applyAlignment="1">
      <alignment vertical="center" wrapText="1"/>
    </xf>
    <xf numFmtId="4" fontId="9" fillId="32" borderId="15" xfId="0" applyNumberFormat="1" applyFont="1" applyFill="1" applyBorder="1" applyAlignment="1">
      <alignment vertical="center" wrapText="1"/>
    </xf>
    <xf numFmtId="4" fontId="9" fillId="32" borderId="16" xfId="0" applyNumberFormat="1" applyFont="1" applyFill="1" applyBorder="1" applyAlignment="1">
      <alignment vertical="center" wrapText="1"/>
    </xf>
    <xf numFmtId="4" fontId="9" fillId="32" borderId="17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vertical="center" wrapText="1"/>
    </xf>
    <xf numFmtId="4" fontId="10" fillId="4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4" fontId="9" fillId="32" borderId="18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5" fillId="4" borderId="10" xfId="61" applyNumberFormat="1" applyFont="1" applyFill="1" applyBorder="1" applyAlignment="1">
      <alignment/>
    </xf>
    <xf numFmtId="181" fontId="8" fillId="4" borderId="10" xfId="61" applyNumberFormat="1" applyFont="1" applyFill="1" applyBorder="1" applyAlignment="1">
      <alignment/>
    </xf>
    <xf numFmtId="182" fontId="5" fillId="4" borderId="10" xfId="61" applyNumberFormat="1" applyFont="1" applyFill="1" applyBorder="1" applyAlignment="1">
      <alignment/>
    </xf>
    <xf numFmtId="182" fontId="8" fillId="4" borderId="10" xfId="61" applyNumberFormat="1" applyFont="1" applyFill="1" applyBorder="1" applyAlignment="1">
      <alignment/>
    </xf>
    <xf numFmtId="181" fontId="5" fillId="4" borderId="11" xfId="61" applyNumberFormat="1" applyFont="1" applyFill="1" applyBorder="1" applyAlignment="1">
      <alignment/>
    </xf>
    <xf numFmtId="181" fontId="5" fillId="4" borderId="21" xfId="61" applyNumberFormat="1" applyFont="1" applyFill="1" applyBorder="1" applyAlignment="1">
      <alignment/>
    </xf>
    <xf numFmtId="181" fontId="5" fillId="4" borderId="22" xfId="61" applyNumberFormat="1" applyFont="1" applyFill="1" applyBorder="1" applyAlignment="1">
      <alignment/>
    </xf>
    <xf numFmtId="181" fontId="8" fillId="4" borderId="23" xfId="61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1" fontId="8" fillId="4" borderId="10" xfId="61" applyNumberFormat="1" applyFont="1" applyFill="1" applyBorder="1" applyAlignment="1">
      <alignment/>
    </xf>
    <xf numFmtId="181" fontId="5" fillId="4" borderId="10" xfId="61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8" fillId="4" borderId="10" xfId="61" applyNumberFormat="1" applyFont="1" applyFill="1" applyBorder="1" applyAlignment="1">
      <alignment/>
    </xf>
    <xf numFmtId="182" fontId="6" fillId="32" borderId="10" xfId="61" applyNumberFormat="1" applyFont="1" applyFill="1" applyBorder="1" applyAlignment="1">
      <alignment/>
    </xf>
    <xf numFmtId="181" fontId="6" fillId="32" borderId="10" xfId="61" applyNumberFormat="1" applyFont="1" applyFill="1" applyBorder="1" applyAlignment="1">
      <alignment/>
    </xf>
    <xf numFmtId="181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indent="1"/>
    </xf>
    <xf numFmtId="4" fontId="9" fillId="33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/>
    </xf>
    <xf numFmtId="182" fontId="0" fillId="0" borderId="0" xfId="61" applyNumberFormat="1" applyFont="1" applyAlignment="1">
      <alignment/>
    </xf>
    <xf numFmtId="182" fontId="7" fillId="0" borderId="0" xfId="61" applyNumberFormat="1" applyFont="1" applyAlignment="1">
      <alignment/>
    </xf>
    <xf numFmtId="181" fontId="7" fillId="0" borderId="0" xfId="61" applyNumberFormat="1" applyFont="1" applyAlignment="1">
      <alignment/>
    </xf>
    <xf numFmtId="190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181" fontId="3" fillId="33" borderId="0" xfId="0" applyNumberFormat="1" applyFont="1" applyFill="1" applyAlignment="1">
      <alignment/>
    </xf>
    <xf numFmtId="0" fontId="3" fillId="0" borderId="22" xfId="53" applyFont="1" applyFill="1" applyBorder="1" applyAlignment="1">
      <alignment horizontal="center" vertical="center" wrapText="1"/>
      <protection/>
    </xf>
    <xf numFmtId="182" fontId="3" fillId="0" borderId="10" xfId="61" applyNumberFormat="1" applyFont="1" applyBorder="1" applyAlignment="1">
      <alignment/>
    </xf>
    <xf numFmtId="182" fontId="5" fillId="4" borderId="10" xfId="61" applyNumberFormat="1" applyFont="1" applyFill="1" applyBorder="1" applyAlignment="1">
      <alignment/>
    </xf>
    <xf numFmtId="9" fontId="8" fillId="4" borderId="10" xfId="57" applyNumberFormat="1" applyFont="1" applyFill="1" applyBorder="1" applyAlignment="1">
      <alignment/>
    </xf>
    <xf numFmtId="9" fontId="5" fillId="4" borderId="10" xfId="57" applyNumberFormat="1" applyFont="1" applyFill="1" applyBorder="1" applyAlignment="1">
      <alignment/>
    </xf>
    <xf numFmtId="9" fontId="3" fillId="0" borderId="10" xfId="57" applyNumberFormat="1" applyFont="1" applyBorder="1" applyAlignment="1">
      <alignment/>
    </xf>
    <xf numFmtId="9" fontId="7" fillId="0" borderId="10" xfId="57" applyNumberFormat="1" applyFont="1" applyBorder="1" applyAlignment="1">
      <alignment/>
    </xf>
    <xf numFmtId="9" fontId="0" fillId="0" borderId="0" xfId="0" applyNumberFormat="1" applyAlignment="1">
      <alignment/>
    </xf>
    <xf numFmtId="182" fontId="7" fillId="0" borderId="0" xfId="61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82" fontId="7" fillId="0" borderId="0" xfId="0" applyNumberFormat="1" applyFont="1" applyFill="1" applyAlignment="1">
      <alignment/>
    </xf>
    <xf numFmtId="0" fontId="0" fillId="0" borderId="0" xfId="52" applyFont="1">
      <alignment/>
      <protection/>
    </xf>
    <xf numFmtId="0" fontId="0" fillId="0" borderId="0" xfId="0" applyFont="1" applyAlignment="1">
      <alignment/>
    </xf>
    <xf numFmtId="0" fontId="1" fillId="0" borderId="11" xfId="52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0" xfId="52" applyFont="1" applyBorder="1" applyAlignment="1">
      <alignment horizontal="left" vertical="center" wrapText="1" inden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9" fontId="1" fillId="0" borderId="0" xfId="57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  <xf numFmtId="181" fontId="18" fillId="4" borderId="10" xfId="61" applyNumberFormat="1" applyFont="1" applyFill="1" applyBorder="1" applyAlignment="1">
      <alignment horizontal="center" vertical="center" wrapText="1"/>
    </xf>
    <xf numFmtId="181" fontId="17" fillId="4" borderId="10" xfId="61" applyNumberFormat="1" applyFont="1" applyFill="1" applyBorder="1" applyAlignment="1">
      <alignment horizontal="center" vertical="center" wrapText="1"/>
    </xf>
    <xf numFmtId="181" fontId="19" fillId="32" borderId="10" xfId="61" applyNumberFormat="1" applyFont="1" applyFill="1" applyBorder="1" applyAlignment="1">
      <alignment horizontal="center" vertical="center" wrapText="1"/>
    </xf>
    <xf numFmtId="181" fontId="0" fillId="32" borderId="10" xfId="61" applyNumberFormat="1" applyFont="1" applyFill="1" applyBorder="1" applyAlignment="1">
      <alignment horizontal="center" vertical="center" wrapText="1"/>
    </xf>
    <xf numFmtId="181" fontId="16" fillId="32" borderId="10" xfId="61" applyNumberFormat="1" applyFont="1" applyFill="1" applyBorder="1" applyAlignment="1">
      <alignment horizontal="center" vertical="center" wrapText="1"/>
    </xf>
    <xf numFmtId="181" fontId="16" fillId="4" borderId="10" xfId="61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6" fillId="0" borderId="0" xfId="0" applyFont="1" applyAlignment="1">
      <alignment/>
    </xf>
    <xf numFmtId="181" fontId="0" fillId="0" borderId="10" xfId="52" applyNumberFormat="1" applyFont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8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3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" xfId="52"/>
    <cellStyle name="Обычный_Тарифы 2009 (окончательные)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55;&#1088;&#1077;&#1079;&#1077;&#1085;&#1090;&#1072;&#1094;&#1080;&#1103;%20&#1087;&#1086;%20&#1080;&#1089;&#1087;&#1086;&#1083;&#1085;&#1077;&#1085;&#1080;&#1102;%20&#1041;&#1055;%20&#1076;&#1083;&#1103;%20&#1045;&#1057;&#1069;\&#1050;&#1085;&#1080;&#1075;&#1072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40;&#1053;&#1058;&#1054;&#1053;_&#1059;&#1058;&#1042;%20&#1057;&#1058;\&#1048;&#1085;&#1076;&#1080;&#1074;&#1080;&#1076;&#1091;&#1072;&#1083;&#1100;&#1085;&#1099;&#1077;%20&#1090;&#1072;&#1088;&#1080;&#1092;&#1099;%202011%20&#1091;&#1090;&#1074;.%20&#1057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41;&#1040;&#1051;&#1040;&#1053;&#1057;&#1067;\&#1041;&#1040;&#1051;&#1040;&#1053;&#1057;&#1067;%202010\&#1055;&#1086;&#1083;&#1077;&#1079;&#1085;&#1099;&#1077;%20&#1086;&#1090;&#1087;&#1091;&#1089;&#1082;&#1072;%202010%20(&#1076;&#1083;&#1103;%20&#1090;&#1072;&#1088;&#1080;&#1092;&#1086;&#1074;)%20(fin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58;&#1072;&#1088;&#1080;&#1092;&#1099;_new\&#1040;&#1053;&#1058;&#1054;&#1053;_&#1048;&#1069;&#1057;&#1050;\&#1042;&#1080;&#1090;&#1080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47;&#1072;&#1087;&#1088;&#1086;&#1089;%20&#1057;&#1058;%20&#1087;&#1086;%20&#1086;&#1090;&#1095;&#1077;&#1090;&#1091;%202010%20&#1075;&#1086;&#1076;&#1072;\&#1055;&#1088;&#1080;&#1083;&#1086;&#1078;&#1077;&#1085;&#1080;&#1077;%203.%20&#1042;&#1099;&#1087;&#1091;&#1089;&#1082;%20&#1058;&#1086;&#1074;&#1072;&#1088;&#1085;&#1086;&#1081;%20&#1087;&#1088;&#1086;&#1076;&#1091;&#1082;&#1094;&#1080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4\&#1088;&#1072;&#1089;&#1095;&#1077;&#1090;%20&#1089;&#1083;&#1091;&#1078;&#1073;&#1099;%20&#1087;&#1086;%20&#1090;&#1072;&#1088;&#1080;&#1092;&#107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2-&#1074;&#1093;&#1086;&#1076;&#1103;&#1097;&#1080;&#1077;\&#1041;&#1091;&#1093;&#1075;&#1072;&#1083;&#1090;&#1077;&#1088;&#1080;&#1103;%20&#1069;&#1050;%20&#1056;&#1072;&#1076;&#1080;&#1072;&#1085;\C&#1084;&#1077;&#1090;&#1072;%20&#1088;&#1072;&#1089;&#1093;&#1086;&#1076;&#1072;%20&#1079;&#1072;%20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в продукция БП 2010"/>
      <sheetName val="Тов. продукция факт 2010"/>
    </sheetNames>
    <sheetDataSet>
      <sheetData sheetId="1">
        <row r="5">
          <cell r="GO5">
            <v>5011.143075757576</v>
          </cell>
        </row>
        <row r="6">
          <cell r="GO6">
            <v>46345833.88732</v>
          </cell>
        </row>
        <row r="7">
          <cell r="GP7">
            <v>2914263.9809999997</v>
          </cell>
          <cell r="GQ7">
            <v>1184592.6315</v>
          </cell>
          <cell r="GR7">
            <v>517145.25716872007</v>
          </cell>
          <cell r="GT7">
            <v>21063.35511772</v>
          </cell>
          <cell r="GU7">
            <v>4806701.15725092</v>
          </cell>
          <cell r="GW7">
            <v>533091.13025748</v>
          </cell>
          <cell r="GY7">
            <v>53022.13362938</v>
          </cell>
          <cell r="HA7">
            <v>4610.74410319</v>
          </cell>
        </row>
        <row r="8">
          <cell r="GP8">
            <v>274506.08424624003</v>
          </cell>
          <cell r="GQ8">
            <v>108693.79703423998</v>
          </cell>
          <cell r="GR8">
            <v>101375.93371859999</v>
          </cell>
          <cell r="GT8">
            <v>1260.6426783999998</v>
          </cell>
          <cell r="GU8">
            <v>366546.84041600005</v>
          </cell>
          <cell r="GW8">
            <v>39972.057818739995</v>
          </cell>
          <cell r="GY8">
            <v>5467.4599094158</v>
          </cell>
          <cell r="HA8">
            <v>553.2935312999999</v>
          </cell>
        </row>
        <row r="9">
          <cell r="GO9">
            <v>12067866.196548808</v>
          </cell>
          <cell r="GP9">
            <v>3188770.06524624</v>
          </cell>
          <cell r="GQ9">
            <v>1293286.42853424</v>
          </cell>
          <cell r="GR9">
            <v>617548.1908873201</v>
          </cell>
          <cell r="GS9">
            <v>16069.132136950002</v>
          </cell>
          <cell r="GT9">
            <v>22323.99779612</v>
          </cell>
          <cell r="GU9">
            <v>5173247.997666921</v>
          </cell>
          <cell r="GV9">
            <v>982241.1468366099</v>
          </cell>
          <cell r="GW9">
            <v>573063.18807622</v>
          </cell>
          <cell r="GX9">
            <v>131036.71578694001</v>
          </cell>
          <cell r="GY9">
            <v>58489.5935387958</v>
          </cell>
          <cell r="GZ9">
            <v>5635.12284827</v>
          </cell>
          <cell r="HA9">
            <v>5164.03763449</v>
          </cell>
          <cell r="HB9">
            <v>990.57955969</v>
          </cell>
        </row>
        <row r="11">
          <cell r="GP11">
            <v>1973.75</v>
          </cell>
          <cell r="GQ11">
            <v>802.2916666666666</v>
          </cell>
          <cell r="GT11">
            <v>0</v>
          </cell>
          <cell r="GU11">
            <v>466.90899999999993</v>
          </cell>
          <cell r="GV11">
            <v>0</v>
          </cell>
          <cell r="GW11">
            <v>18.523</v>
          </cell>
          <cell r="GY11">
            <v>14.662</v>
          </cell>
          <cell r="HA11">
            <v>0</v>
          </cell>
          <cell r="HB11">
            <v>0</v>
          </cell>
        </row>
        <row r="14">
          <cell r="GP14">
            <v>17329929.560999997</v>
          </cell>
          <cell r="GQ14">
            <v>6861982.136</v>
          </cell>
          <cell r="GR14">
            <v>2802401.5840000003</v>
          </cell>
          <cell r="GS14">
            <v>0</v>
          </cell>
          <cell r="GT14">
            <v>0</v>
          </cell>
          <cell r="GU14">
            <v>4535257.414</v>
          </cell>
          <cell r="GV14">
            <v>28802.592000000004</v>
          </cell>
          <cell r="GW14">
            <v>75767.28</v>
          </cell>
          <cell r="GX14">
            <v>0</v>
          </cell>
          <cell r="GY14">
            <v>88050.80812</v>
          </cell>
          <cell r="GZ14">
            <v>0</v>
          </cell>
          <cell r="HA14">
            <v>0</v>
          </cell>
          <cell r="HB14">
            <v>0</v>
          </cell>
        </row>
        <row r="20">
          <cell r="GP20">
            <v>0</v>
          </cell>
          <cell r="GQ20">
            <v>0</v>
          </cell>
          <cell r="GT20">
            <v>0</v>
          </cell>
          <cell r="GU20">
            <v>271.897</v>
          </cell>
          <cell r="GV20">
            <v>0</v>
          </cell>
          <cell r="GW20">
            <v>4.07</v>
          </cell>
          <cell r="GY20">
            <v>20.945833333333336</v>
          </cell>
          <cell r="HA20">
            <v>0.13149999999999998</v>
          </cell>
          <cell r="HB20">
            <v>0</v>
          </cell>
        </row>
        <row r="23">
          <cell r="GP23">
            <v>0</v>
          </cell>
          <cell r="GQ23">
            <v>0</v>
          </cell>
          <cell r="GR23">
            <v>30046.81</v>
          </cell>
          <cell r="GS23">
            <v>0</v>
          </cell>
          <cell r="GT23">
            <v>0</v>
          </cell>
          <cell r="GU23">
            <v>1311381.248</v>
          </cell>
          <cell r="GV23">
            <v>50879.382000000005</v>
          </cell>
          <cell r="GW23">
            <v>43222.97800000001</v>
          </cell>
          <cell r="GX23">
            <v>0</v>
          </cell>
          <cell r="GY23">
            <v>108251.1599</v>
          </cell>
          <cell r="GZ23">
            <v>0</v>
          </cell>
          <cell r="HA23">
            <v>569.014</v>
          </cell>
          <cell r="HB23">
            <v>0</v>
          </cell>
        </row>
        <row r="29">
          <cell r="GP29">
            <v>0</v>
          </cell>
          <cell r="GQ29">
            <v>0</v>
          </cell>
          <cell r="GT29">
            <v>6.597666666666666</v>
          </cell>
          <cell r="GU29">
            <v>654.544</v>
          </cell>
          <cell r="GV29">
            <v>0</v>
          </cell>
          <cell r="GW29">
            <v>45.029</v>
          </cell>
          <cell r="GY29">
            <v>4.2413333333333325</v>
          </cell>
          <cell r="HA29">
            <v>0.4958333333333333</v>
          </cell>
          <cell r="HB29">
            <v>0</v>
          </cell>
        </row>
        <row r="32">
          <cell r="GP32">
            <v>0</v>
          </cell>
          <cell r="GQ32">
            <v>0</v>
          </cell>
          <cell r="GR32">
            <v>88475.94499999999</v>
          </cell>
          <cell r="GS32">
            <v>0</v>
          </cell>
          <cell r="GT32">
            <v>40199.06499999999</v>
          </cell>
          <cell r="GU32">
            <v>4841132.332</v>
          </cell>
          <cell r="GV32">
            <v>989277.0070000002</v>
          </cell>
          <cell r="GW32">
            <v>283902.62299999996</v>
          </cell>
          <cell r="GX32">
            <v>37208.772</v>
          </cell>
          <cell r="GY32">
            <v>19606.5532</v>
          </cell>
          <cell r="GZ32">
            <v>0</v>
          </cell>
          <cell r="HA32">
            <v>1458.8490000000002</v>
          </cell>
          <cell r="HB32">
            <v>0</v>
          </cell>
        </row>
        <row r="38">
          <cell r="GP38">
            <v>0</v>
          </cell>
          <cell r="GQ38">
            <v>0</v>
          </cell>
          <cell r="GT38">
            <v>0</v>
          </cell>
          <cell r="GU38">
            <v>286.86</v>
          </cell>
          <cell r="GV38">
            <v>0</v>
          </cell>
          <cell r="GW38">
            <v>70.63</v>
          </cell>
          <cell r="GY38">
            <v>5.026833333333333</v>
          </cell>
          <cell r="HA38">
            <v>1.4705000000000001</v>
          </cell>
          <cell r="HB38">
            <v>0</v>
          </cell>
        </row>
        <row r="41">
          <cell r="GP41">
            <v>0</v>
          </cell>
          <cell r="GQ41">
            <v>0</v>
          </cell>
          <cell r="GR41">
            <v>14040.086</v>
          </cell>
          <cell r="GS41">
            <v>79475.405</v>
          </cell>
          <cell r="GT41">
            <v>0</v>
          </cell>
          <cell r="GU41">
            <v>1779161.3059999999</v>
          </cell>
          <cell r="GV41">
            <v>3789051.5379999997</v>
          </cell>
          <cell r="GW41">
            <v>448961.8019999999</v>
          </cell>
          <cell r="GX41">
            <v>610878.2540000001</v>
          </cell>
          <cell r="GY41">
            <v>16014.3561</v>
          </cell>
          <cell r="GZ41">
            <v>27870.433</v>
          </cell>
          <cell r="HA41">
            <v>7678.343</v>
          </cell>
          <cell r="HB41">
            <v>4899.251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</sheetNames>
    <sheetDataSet>
      <sheetData sheetId="2">
        <row r="41">
          <cell r="E41">
            <v>3173.252</v>
          </cell>
          <cell r="H41">
            <v>991059</v>
          </cell>
          <cell r="I41">
            <v>836853.7640639191</v>
          </cell>
        </row>
        <row r="42">
          <cell r="E42">
            <v>1115.412999999999</v>
          </cell>
          <cell r="H42">
            <v>352136.60400000005</v>
          </cell>
          <cell r="I42">
            <v>302679.4733953377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для котла"/>
      <sheetName val="Энергия ФСТ"/>
      <sheetName val="Мощность ФСТ"/>
      <sheetName val="Потери ТСО 2010"/>
      <sheetName val="Потери ФСТ"/>
      <sheetName val="Потери ТСО 2009"/>
      <sheetName val="Свод зоны"/>
      <sheetName val="ОПП"/>
      <sheetName val="ИЭСбК в материалах"/>
      <sheetName val="ИЭСбК"/>
      <sheetName val="ИЭСбК_ОРЭМ"/>
      <sheetName val="ИЭСбК_РРЭМ"/>
      <sheetName val="Русэнергосбыт ВСЕГО"/>
      <sheetName val="Русэнергосбыт ОРЭМ"/>
      <sheetName val="РУСЭС_РРЭМ_ИЭСбК"/>
      <sheetName val="РУСЭС_РРЭМ_КЭС"/>
      <sheetName val="БЭС ВСЕГО"/>
      <sheetName val="БЭС ОРЭМ"/>
      <sheetName val="БЭС РРЭМ"/>
      <sheetName val="ОКЭ"/>
      <sheetName val="ШЭСК"/>
      <sheetName val="Аларск"/>
      <sheetName val="Население ФСТ"/>
      <sheetName val="Мамско Чуйский"/>
    </sheetNames>
    <sheetDataSet>
      <sheetData sheetId="3">
        <row r="51">
          <cell r="C51">
            <v>85.99999999999999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тим"/>
    </sheetNames>
    <sheetDataSet>
      <sheetData sheetId="0">
        <row r="5">
          <cell r="D5">
            <v>136.279</v>
          </cell>
          <cell r="E5">
            <v>206.67</v>
          </cell>
          <cell r="F5">
            <v>39.521</v>
          </cell>
          <cell r="G5">
            <v>116.68</v>
          </cell>
          <cell r="I5">
            <v>15.559</v>
          </cell>
          <cell r="J5">
            <v>22.269</v>
          </cell>
          <cell r="K5">
            <v>4.511</v>
          </cell>
          <cell r="L5">
            <v>13.319</v>
          </cell>
        </row>
        <row r="6">
          <cell r="G6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варная продукция"/>
    </sheetNames>
    <sheetDataSet>
      <sheetData sheetId="0">
        <row r="7">
          <cell r="C7">
            <v>10086176.109070392</v>
          </cell>
        </row>
        <row r="8">
          <cell r="C8">
            <v>1981690.0828893953</v>
          </cell>
        </row>
        <row r="9">
          <cell r="C9">
            <v>12067866.191959793</v>
          </cell>
          <cell r="D9">
            <v>3188770.0652462402</v>
          </cell>
          <cell r="E9">
            <v>1293286.42853424</v>
          </cell>
          <cell r="F9">
            <v>617548.1710160401</v>
          </cell>
          <cell r="H9">
            <v>22323.99779612</v>
          </cell>
          <cell r="I9">
            <v>5173247.9927301835</v>
          </cell>
          <cell r="K9">
            <v>573063.18807622</v>
          </cell>
          <cell r="M9">
            <v>58489.5935387958</v>
          </cell>
          <cell r="O9">
            <v>5164.0376344900005</v>
          </cell>
        </row>
        <row r="11">
          <cell r="F11">
            <v>348.40833333333336</v>
          </cell>
        </row>
        <row r="20">
          <cell r="F20">
            <v>3.9906666666666673</v>
          </cell>
        </row>
        <row r="29">
          <cell r="F29">
            <v>10.093833333333334</v>
          </cell>
        </row>
        <row r="38">
          <cell r="F38">
            <v>2.6935000000000002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для заключения"/>
      <sheetName val="Лист1"/>
      <sheetName val="Расчет тарифа 2012"/>
      <sheetName val="Вып для заключения"/>
      <sheetName val="НВВ 08-09"/>
      <sheetName val="Амортизация"/>
      <sheetName val="Выпадающие по потерям"/>
      <sheetName val="Коммандир"/>
      <sheetName val="ФОТ"/>
      <sheetName val="ГСМ, охрана, аренда"/>
    </sheetNames>
    <sheetDataSet>
      <sheetData sheetId="1">
        <row r="8">
          <cell r="G8">
            <v>181.4</v>
          </cell>
        </row>
        <row r="11">
          <cell r="G11">
            <v>6753.7</v>
          </cell>
        </row>
        <row r="12">
          <cell r="G12">
            <v>5842.9</v>
          </cell>
        </row>
        <row r="13">
          <cell r="G13">
            <v>1764.6</v>
          </cell>
        </row>
        <row r="14">
          <cell r="G14">
            <v>4080.4</v>
          </cell>
        </row>
        <row r="15">
          <cell r="G15">
            <v>1729.7</v>
          </cell>
        </row>
        <row r="31">
          <cell r="G31">
            <v>2636</v>
          </cell>
        </row>
        <row r="36">
          <cell r="G36">
            <v>4746.8</v>
          </cell>
        </row>
        <row r="39">
          <cell r="G39">
            <v>1023.6</v>
          </cell>
        </row>
        <row r="44">
          <cell r="G44">
            <v>2807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Лист2"/>
      <sheetName val="Лист1"/>
      <sheetName val="Смета расход "/>
    </sheetNames>
    <sheetDataSet>
      <sheetData sheetId="1">
        <row r="19">
          <cell r="J19">
            <v>91042.61</v>
          </cell>
        </row>
        <row r="20">
          <cell r="J20">
            <v>9178973.04</v>
          </cell>
        </row>
        <row r="21">
          <cell r="J21">
            <v>86634.6</v>
          </cell>
        </row>
        <row r="24">
          <cell r="J24">
            <v>4963647.58</v>
          </cell>
        </row>
        <row r="25">
          <cell r="J25">
            <v>2433482.78</v>
          </cell>
        </row>
        <row r="26">
          <cell r="J26">
            <v>698397.73</v>
          </cell>
        </row>
        <row r="27">
          <cell r="J27">
            <v>1527854.1700000002</v>
          </cell>
        </row>
        <row r="28">
          <cell r="J28">
            <v>14277724.48</v>
          </cell>
        </row>
        <row r="55">
          <cell r="H55">
            <v>3439828.5100000002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D111"/>
  <sheetViews>
    <sheetView zoomScalePageLayoutView="0" workbookViewId="0" topLeftCell="A1">
      <selection activeCell="N99" sqref="N99"/>
    </sheetView>
  </sheetViews>
  <sheetFormatPr defaultColWidth="9.140625" defaultRowHeight="12.75" outlineLevelRow="1" outlineLevelCol="1"/>
  <cols>
    <col min="1" max="1" width="17.7109375" style="0" customWidth="1"/>
    <col min="2" max="5" width="10.8515625" style="0" customWidth="1"/>
    <col min="6" max="6" width="10.28125" style="0" customWidth="1"/>
    <col min="7" max="11" width="10.8515625" style="0" customWidth="1"/>
    <col min="12" max="13" width="10.7109375" style="0" bestFit="1" customWidth="1"/>
    <col min="14" max="14" width="10.421875" style="0" bestFit="1" customWidth="1"/>
    <col min="15" max="15" width="9.8515625" style="0" bestFit="1" customWidth="1"/>
    <col min="16" max="16" width="10.421875" style="0" bestFit="1" customWidth="1"/>
    <col min="17" max="17" width="10.00390625" style="0" customWidth="1"/>
    <col min="22" max="22" width="10.421875" style="0" customWidth="1"/>
    <col min="27" max="27" width="9.421875" style="0" hidden="1" customWidth="1" outlineLevel="1"/>
    <col min="28" max="28" width="9.57421875" style="0" hidden="1" customWidth="1" outlineLevel="1"/>
    <col min="29" max="29" width="0" style="0" hidden="1" customWidth="1" outlineLevel="1"/>
    <col min="30" max="30" width="9.140625" style="0" customWidth="1" collapsed="1"/>
  </cols>
  <sheetData>
    <row r="1" ht="12.75">
      <c r="A1" s="1" t="s">
        <v>34</v>
      </c>
    </row>
    <row r="2" ht="12.75">
      <c r="A2" s="1"/>
    </row>
    <row r="3" spans="1:7" ht="13.5" thickBot="1">
      <c r="A3" s="8" t="s">
        <v>56</v>
      </c>
      <c r="G3" s="29"/>
    </row>
    <row r="4" spans="1:5" ht="12.75">
      <c r="A4" s="104" t="s">
        <v>18</v>
      </c>
      <c r="B4" s="106" t="s">
        <v>16</v>
      </c>
      <c r="C4" s="107"/>
      <c r="D4" s="108"/>
      <c r="E4" s="18" t="s">
        <v>32</v>
      </c>
    </row>
    <row r="5" spans="1:5" ht="24.75">
      <c r="A5" s="105"/>
      <c r="B5" s="20" t="s">
        <v>38</v>
      </c>
      <c r="C5" s="21" t="s">
        <v>39</v>
      </c>
      <c r="D5" s="22" t="s">
        <v>40</v>
      </c>
      <c r="E5" s="23" t="s">
        <v>40</v>
      </c>
    </row>
    <row r="6" spans="1:5" ht="12.75">
      <c r="A6" s="9" t="s">
        <v>19</v>
      </c>
      <c r="B6" s="10">
        <v>15.84</v>
      </c>
      <c r="C6" s="11">
        <v>123042.6</v>
      </c>
      <c r="D6" s="12">
        <v>187.71</v>
      </c>
      <c r="E6" s="19">
        <v>202.19</v>
      </c>
    </row>
    <row r="7" spans="1:7" ht="12.75">
      <c r="A7" s="9" t="s">
        <v>36</v>
      </c>
      <c r="B7" s="50">
        <v>22.41</v>
      </c>
      <c r="C7" s="11">
        <v>181915.31</v>
      </c>
      <c r="D7" s="12">
        <v>315.37</v>
      </c>
      <c r="E7" s="16">
        <f>E6</f>
        <v>202.19</v>
      </c>
      <c r="G7" s="25"/>
    </row>
    <row r="8" spans="1:5" ht="12.75">
      <c r="A8" s="9" t="s">
        <v>37</v>
      </c>
      <c r="B8" s="10">
        <v>31.36</v>
      </c>
      <c r="C8" s="11">
        <v>266045.51</v>
      </c>
      <c r="D8" s="12">
        <v>479.13</v>
      </c>
      <c r="E8" s="16">
        <f>E7</f>
        <v>202.19</v>
      </c>
    </row>
    <row r="9" spans="1:5" ht="13.5" thickBot="1">
      <c r="A9" s="9" t="s">
        <v>22</v>
      </c>
      <c r="B9" s="13">
        <v>64.44</v>
      </c>
      <c r="C9" s="14">
        <v>416607.45</v>
      </c>
      <c r="D9" s="15">
        <v>819.41</v>
      </c>
      <c r="E9" s="17">
        <f>E8</f>
        <v>202.19</v>
      </c>
    </row>
    <row r="10" spans="1:5" ht="12.75">
      <c r="A10" s="24"/>
      <c r="B10" s="25"/>
      <c r="C10" s="25"/>
      <c r="D10" s="25"/>
      <c r="E10" s="26"/>
    </row>
    <row r="11" ht="12.75">
      <c r="A11" s="59" t="s">
        <v>35</v>
      </c>
    </row>
    <row r="12" spans="1:26" ht="12.75">
      <c r="A12" s="103" t="s">
        <v>16</v>
      </c>
      <c r="B12" s="101" t="s">
        <v>30</v>
      </c>
      <c r="C12" s="101"/>
      <c r="D12" s="101"/>
      <c r="E12" s="101"/>
      <c r="F12" s="101"/>
      <c r="G12" s="101" t="s">
        <v>31</v>
      </c>
      <c r="H12" s="101"/>
      <c r="I12" s="101"/>
      <c r="J12" s="101"/>
      <c r="K12" s="101"/>
      <c r="L12" s="101" t="s">
        <v>41</v>
      </c>
      <c r="M12" s="101"/>
      <c r="N12" s="101"/>
      <c r="O12" s="101"/>
      <c r="P12" s="101"/>
      <c r="Q12" s="101" t="s">
        <v>42</v>
      </c>
      <c r="R12" s="101"/>
      <c r="S12" s="101"/>
      <c r="T12" s="101"/>
      <c r="U12" s="101"/>
      <c r="V12" s="101" t="s">
        <v>43</v>
      </c>
      <c r="W12" s="101"/>
      <c r="X12" s="101"/>
      <c r="Y12" s="101"/>
      <c r="Z12" s="101"/>
    </row>
    <row r="13" spans="1:26" ht="12.75">
      <c r="A13" s="103"/>
      <c r="B13" s="101" t="s">
        <v>17</v>
      </c>
      <c r="C13" s="101" t="s">
        <v>18</v>
      </c>
      <c r="D13" s="101"/>
      <c r="E13" s="101"/>
      <c r="F13" s="101"/>
      <c r="G13" s="101" t="s">
        <v>17</v>
      </c>
      <c r="H13" s="101" t="s">
        <v>18</v>
      </c>
      <c r="I13" s="101"/>
      <c r="J13" s="101"/>
      <c r="K13" s="101"/>
      <c r="L13" s="101" t="s">
        <v>17</v>
      </c>
      <c r="M13" s="101" t="s">
        <v>18</v>
      </c>
      <c r="N13" s="101"/>
      <c r="O13" s="101"/>
      <c r="P13" s="101"/>
      <c r="Q13" s="101" t="s">
        <v>17</v>
      </c>
      <c r="R13" s="101" t="s">
        <v>18</v>
      </c>
      <c r="S13" s="101"/>
      <c r="T13" s="101"/>
      <c r="U13" s="101"/>
      <c r="V13" s="101" t="s">
        <v>17</v>
      </c>
      <c r="W13" s="101" t="s">
        <v>18</v>
      </c>
      <c r="X13" s="101"/>
      <c r="Y13" s="101"/>
      <c r="Z13" s="101"/>
    </row>
    <row r="14" spans="1:26" ht="12.75">
      <c r="A14" s="103"/>
      <c r="B14" s="101"/>
      <c r="C14" s="2" t="s">
        <v>19</v>
      </c>
      <c r="D14" s="2" t="s">
        <v>20</v>
      </c>
      <c r="E14" s="2" t="s">
        <v>21</v>
      </c>
      <c r="F14" s="2" t="s">
        <v>22</v>
      </c>
      <c r="G14" s="101"/>
      <c r="H14" s="2" t="s">
        <v>19</v>
      </c>
      <c r="I14" s="2" t="s">
        <v>20</v>
      </c>
      <c r="J14" s="2" t="s">
        <v>21</v>
      </c>
      <c r="K14" s="2" t="s">
        <v>22</v>
      </c>
      <c r="L14" s="101"/>
      <c r="M14" s="2" t="s">
        <v>19</v>
      </c>
      <c r="N14" s="2" t="s">
        <v>20</v>
      </c>
      <c r="O14" s="2" t="s">
        <v>21</v>
      </c>
      <c r="P14" s="2" t="s">
        <v>22</v>
      </c>
      <c r="Q14" s="101"/>
      <c r="R14" s="2" t="s">
        <v>19</v>
      </c>
      <c r="S14" s="2" t="s">
        <v>20</v>
      </c>
      <c r="T14" s="2" t="s">
        <v>21</v>
      </c>
      <c r="U14" s="2" t="s">
        <v>22</v>
      </c>
      <c r="V14" s="101"/>
      <c r="W14" s="2" t="s">
        <v>19</v>
      </c>
      <c r="X14" s="2" t="s">
        <v>20</v>
      </c>
      <c r="Y14" s="2" t="s">
        <v>21</v>
      </c>
      <c r="Z14" s="2" t="s">
        <v>22</v>
      </c>
    </row>
    <row r="15" spans="1:26" ht="12.75">
      <c r="A15" s="5" t="s">
        <v>23</v>
      </c>
      <c r="B15" s="32">
        <f aca="true" t="shared" si="0" ref="B15:B21">SUM(C15:F15)</f>
        <v>12931.43445718761</v>
      </c>
      <c r="C15" s="3">
        <v>4200.041301448142</v>
      </c>
      <c r="D15" s="3">
        <v>2027.1848708945704</v>
      </c>
      <c r="E15" s="3">
        <v>4718.531512832529</v>
      </c>
      <c r="F15" s="3">
        <v>1985.676772012369</v>
      </c>
      <c r="G15" s="32">
        <f aca="true" t="shared" si="1" ref="G15:G21">SUM(H15:K15)</f>
        <v>1667.1888815598747</v>
      </c>
      <c r="H15" s="3">
        <v>466.90914422267684</v>
      </c>
      <c r="I15" s="3">
        <v>271.89687531412574</v>
      </c>
      <c r="J15" s="3">
        <v>641.5224344672936</v>
      </c>
      <c r="K15" s="3">
        <v>286.86042755577864</v>
      </c>
      <c r="L15" s="30">
        <f aca="true" t="shared" si="2" ref="L15:L20">SUM(M15:P15)</f>
        <v>387888.02660259104</v>
      </c>
      <c r="M15" s="30">
        <f aca="true" t="shared" si="3" ref="M15:M21">C15*$B$6</f>
        <v>66528.65421493856</v>
      </c>
      <c r="N15" s="30">
        <f aca="true" t="shared" si="4" ref="N15:N21">D15*$B$7</f>
        <v>45429.212956747324</v>
      </c>
      <c r="O15" s="30">
        <f aca="true" t="shared" si="5" ref="O15:O21">E15*$B$8</f>
        <v>147973.1482424281</v>
      </c>
      <c r="P15" s="30">
        <f aca="true" t="shared" si="6" ref="P15:P21">F15*$B$9</f>
        <v>127957.01118847704</v>
      </c>
      <c r="Q15" s="30">
        <f aca="true" t="shared" si="7" ref="Q15:Q20">SUM(R15:U15)</f>
        <v>4765131.286967388</v>
      </c>
      <c r="R15" s="30">
        <f aca="true" t="shared" si="8" ref="R15:R20">H15*$C$6*12/1000</f>
        <v>689396.5808271978</v>
      </c>
      <c r="S15" s="30">
        <f aca="true" t="shared" si="9" ref="S15:S20">I15*$C$7*12/1000</f>
        <v>593546.4523296063</v>
      </c>
      <c r="T15" s="30">
        <f aca="true" t="shared" si="10" ref="T15:T20">J15*$C$8*12/1000</f>
        <v>2048089.9590515122</v>
      </c>
      <c r="U15" s="30">
        <f aca="true" t="shared" si="11" ref="U15:U20">K15*$C$9*12/1000</f>
        <v>1434098.2947590724</v>
      </c>
      <c r="V15" s="30">
        <f aca="true" t="shared" si="12" ref="V15:V20">SUM(W15:Z15)</f>
        <v>5153019.31356998</v>
      </c>
      <c r="W15" s="30">
        <f aca="true" t="shared" si="13" ref="W15:Z21">M15+R15</f>
        <v>755925.2350421363</v>
      </c>
      <c r="X15" s="30">
        <f t="shared" si="13"/>
        <v>638975.6652863536</v>
      </c>
      <c r="Y15" s="30">
        <f t="shared" si="13"/>
        <v>2196063.10729394</v>
      </c>
      <c r="Z15" s="30">
        <f t="shared" si="13"/>
        <v>1562055.3059475494</v>
      </c>
    </row>
    <row r="16" spans="1:26" ht="12.75">
      <c r="A16" s="5" t="s">
        <v>24</v>
      </c>
      <c r="B16" s="32">
        <f t="shared" si="0"/>
        <v>865.8330000000001</v>
      </c>
      <c r="C16" s="3">
        <v>112.6993</v>
      </c>
      <c r="D16" s="3">
        <v>25.0294</v>
      </c>
      <c r="E16" s="3">
        <v>280.87570000000005</v>
      </c>
      <c r="F16" s="3">
        <v>447.22860000000003</v>
      </c>
      <c r="G16" s="32">
        <f t="shared" si="1"/>
        <v>138.25257172318854</v>
      </c>
      <c r="H16" s="3">
        <v>18.523000000000003</v>
      </c>
      <c r="I16" s="3">
        <v>4.07</v>
      </c>
      <c r="J16" s="3">
        <v>45.02927172318852</v>
      </c>
      <c r="K16" s="3">
        <v>70.6303</v>
      </c>
      <c r="L16" s="30">
        <f t="shared" si="2"/>
        <v>39973.738702</v>
      </c>
      <c r="M16" s="30">
        <f t="shared" si="3"/>
        <v>1785.156912</v>
      </c>
      <c r="N16" s="30">
        <f t="shared" si="4"/>
        <v>560.908854</v>
      </c>
      <c r="O16" s="30">
        <f t="shared" si="5"/>
        <v>8808.261952</v>
      </c>
      <c r="P16" s="30">
        <f t="shared" si="6"/>
        <v>28819.410984000002</v>
      </c>
      <c r="Q16" s="30">
        <f t="shared" si="7"/>
        <v>533093.4975331114</v>
      </c>
      <c r="R16" s="30">
        <f t="shared" si="8"/>
        <v>27349.416957600006</v>
      </c>
      <c r="S16" s="30">
        <f t="shared" si="9"/>
        <v>8884.743740400001</v>
      </c>
      <c r="T16" s="30">
        <f t="shared" si="10"/>
        <v>143758.02672629125</v>
      </c>
      <c r="U16" s="30">
        <f t="shared" si="11"/>
        <v>353101.3101088201</v>
      </c>
      <c r="V16" s="30">
        <f t="shared" si="12"/>
        <v>573067.2362351114</v>
      </c>
      <c r="W16" s="30">
        <f t="shared" si="13"/>
        <v>29134.573869600004</v>
      </c>
      <c r="X16" s="30">
        <f t="shared" si="13"/>
        <v>9445.6525944</v>
      </c>
      <c r="Y16" s="30">
        <f t="shared" si="13"/>
        <v>152566.28867829125</v>
      </c>
      <c r="Z16" s="30">
        <f t="shared" si="13"/>
        <v>381920.7210928201</v>
      </c>
    </row>
    <row r="17" spans="1:26" ht="12.75">
      <c r="A17" s="5" t="s">
        <v>25</v>
      </c>
      <c r="B17" s="32">
        <f t="shared" si="0"/>
        <v>2617.830793</v>
      </c>
      <c r="C17" s="3">
        <v>2494.538576</v>
      </c>
      <c r="D17" s="3">
        <v>29.395999999999994</v>
      </c>
      <c r="E17" s="3">
        <v>74.04855599999999</v>
      </c>
      <c r="F17" s="3">
        <v>19.847661000000002</v>
      </c>
      <c r="G17" s="32">
        <f t="shared" si="1"/>
        <v>333.1079604722729</v>
      </c>
      <c r="H17" s="3">
        <v>316.3297253503336</v>
      </c>
      <c r="I17" s="3">
        <v>3.9906342234245344</v>
      </c>
      <c r="J17" s="3">
        <v>10.093964141945143</v>
      </c>
      <c r="K17" s="3">
        <v>2.693636756569629</v>
      </c>
      <c r="L17" s="30">
        <f t="shared" si="2"/>
        <v>43773.401394839995</v>
      </c>
      <c r="M17" s="30">
        <f t="shared" si="3"/>
        <v>39513.49104384</v>
      </c>
      <c r="N17" s="30">
        <f t="shared" si="4"/>
        <v>658.7643599999999</v>
      </c>
      <c r="O17" s="30">
        <f t="shared" si="5"/>
        <v>2322.1627161599995</v>
      </c>
      <c r="P17" s="30">
        <f t="shared" si="6"/>
        <v>1278.9832748400001</v>
      </c>
      <c r="Q17" s="30">
        <f t="shared" si="7"/>
        <v>521467.58765625715</v>
      </c>
      <c r="R17" s="30">
        <f t="shared" si="8"/>
        <v>467064.3823726915</v>
      </c>
      <c r="S17" s="30">
        <f t="shared" si="9"/>
        <v>8711.489542210602</v>
      </c>
      <c r="T17" s="30">
        <f t="shared" si="10"/>
        <v>32225.4460567861</v>
      </c>
      <c r="U17" s="30">
        <f t="shared" si="11"/>
        <v>13466.269684568926</v>
      </c>
      <c r="V17" s="30">
        <f t="shared" si="12"/>
        <v>565240.9890510972</v>
      </c>
      <c r="W17" s="30">
        <f t="shared" si="13"/>
        <v>506577.87341653154</v>
      </c>
      <c r="X17" s="30">
        <f t="shared" si="13"/>
        <v>9370.253902210601</v>
      </c>
      <c r="Y17" s="30">
        <f t="shared" si="13"/>
        <v>34547.6087729461</v>
      </c>
      <c r="Z17" s="30">
        <f t="shared" si="13"/>
        <v>14745.252959408926</v>
      </c>
    </row>
    <row r="18" spans="1:26" ht="12.75">
      <c r="A18" s="5" t="s">
        <v>26</v>
      </c>
      <c r="B18" s="32">
        <f t="shared" si="0"/>
        <v>17144.100000000002</v>
      </c>
      <c r="C18" s="3">
        <v>17144.100000000002</v>
      </c>
      <c r="D18" s="3">
        <v>0</v>
      </c>
      <c r="E18" s="3">
        <v>0</v>
      </c>
      <c r="F18" s="3">
        <v>0</v>
      </c>
      <c r="G18" s="32">
        <f t="shared" si="1"/>
        <v>1973.75</v>
      </c>
      <c r="H18" s="3">
        <v>1973.75</v>
      </c>
      <c r="I18" s="3">
        <v>0</v>
      </c>
      <c r="J18" s="3">
        <v>0</v>
      </c>
      <c r="K18" s="3">
        <v>0</v>
      </c>
      <c r="L18" s="30">
        <f t="shared" si="2"/>
        <v>271562.54400000005</v>
      </c>
      <c r="M18" s="30">
        <f t="shared" si="3"/>
        <v>271562.54400000005</v>
      </c>
      <c r="N18" s="30">
        <f t="shared" si="4"/>
        <v>0</v>
      </c>
      <c r="O18" s="30">
        <f t="shared" si="5"/>
        <v>0</v>
      </c>
      <c r="P18" s="30">
        <f t="shared" si="6"/>
        <v>0</v>
      </c>
      <c r="Q18" s="30">
        <f t="shared" si="7"/>
        <v>2914263.981</v>
      </c>
      <c r="R18" s="30">
        <f t="shared" si="8"/>
        <v>2914263.981</v>
      </c>
      <c r="S18" s="30">
        <f t="shared" si="9"/>
        <v>0</v>
      </c>
      <c r="T18" s="30">
        <f t="shared" si="10"/>
        <v>0</v>
      </c>
      <c r="U18" s="30">
        <f t="shared" si="11"/>
        <v>0</v>
      </c>
      <c r="V18" s="30">
        <f t="shared" si="12"/>
        <v>3185826.5250000004</v>
      </c>
      <c r="W18" s="30">
        <f t="shared" si="13"/>
        <v>3185826.5250000004</v>
      </c>
      <c r="X18" s="30">
        <f t="shared" si="13"/>
        <v>0</v>
      </c>
      <c r="Y18" s="30">
        <f t="shared" si="13"/>
        <v>0</v>
      </c>
      <c r="Z18" s="30">
        <f t="shared" si="13"/>
        <v>0</v>
      </c>
    </row>
    <row r="19" spans="1:26" ht="12.75">
      <c r="A19" s="5" t="s">
        <v>27</v>
      </c>
      <c r="B19" s="32">
        <f t="shared" si="0"/>
        <v>6450.41</v>
      </c>
      <c r="C19" s="3">
        <v>6450.41</v>
      </c>
      <c r="D19" s="3">
        <v>0</v>
      </c>
      <c r="E19" s="3">
        <v>0</v>
      </c>
      <c r="F19" s="3">
        <v>0</v>
      </c>
      <c r="G19" s="32">
        <f t="shared" si="1"/>
        <v>763.2000000000002</v>
      </c>
      <c r="H19" s="3">
        <v>763.2000000000002</v>
      </c>
      <c r="I19" s="3">
        <v>0</v>
      </c>
      <c r="J19" s="3">
        <v>0</v>
      </c>
      <c r="K19" s="3">
        <v>0</v>
      </c>
      <c r="L19" s="30">
        <f t="shared" si="2"/>
        <v>102174.4944</v>
      </c>
      <c r="M19" s="30">
        <f t="shared" si="3"/>
        <v>102174.4944</v>
      </c>
      <c r="N19" s="30">
        <f t="shared" si="4"/>
        <v>0</v>
      </c>
      <c r="O19" s="30">
        <f t="shared" si="5"/>
        <v>0</v>
      </c>
      <c r="P19" s="30">
        <f t="shared" si="6"/>
        <v>0</v>
      </c>
      <c r="Q19" s="30">
        <f t="shared" si="7"/>
        <v>1126873.3478400002</v>
      </c>
      <c r="R19" s="30">
        <f t="shared" si="8"/>
        <v>1126873.3478400002</v>
      </c>
      <c r="S19" s="30">
        <f t="shared" si="9"/>
        <v>0</v>
      </c>
      <c r="T19" s="30">
        <f t="shared" si="10"/>
        <v>0</v>
      </c>
      <c r="U19" s="30">
        <f t="shared" si="11"/>
        <v>0</v>
      </c>
      <c r="V19" s="30">
        <f t="shared" si="12"/>
        <v>1229047.8422400001</v>
      </c>
      <c r="W19" s="30">
        <f t="shared" si="13"/>
        <v>1229047.8422400001</v>
      </c>
      <c r="X19" s="30">
        <f t="shared" si="13"/>
        <v>0</v>
      </c>
      <c r="Y19" s="30">
        <f t="shared" si="13"/>
        <v>0</v>
      </c>
      <c r="Z19" s="30">
        <f t="shared" si="13"/>
        <v>0</v>
      </c>
    </row>
    <row r="20" spans="1:26" ht="12.75">
      <c r="A20" s="6" t="s">
        <v>28</v>
      </c>
      <c r="B20" s="32">
        <f t="shared" si="0"/>
        <v>11.739</v>
      </c>
      <c r="C20" s="3">
        <v>0</v>
      </c>
      <c r="D20" s="3">
        <v>0</v>
      </c>
      <c r="E20" s="3">
        <v>11.739</v>
      </c>
      <c r="F20" s="3">
        <v>0</v>
      </c>
      <c r="G20" s="32">
        <f t="shared" si="1"/>
        <v>4.843</v>
      </c>
      <c r="H20" s="3">
        <v>0</v>
      </c>
      <c r="I20" s="3">
        <v>0</v>
      </c>
      <c r="J20" s="3">
        <v>4.843</v>
      </c>
      <c r="K20" s="3">
        <v>0</v>
      </c>
      <c r="L20" s="30">
        <f t="shared" si="2"/>
        <v>368.13504</v>
      </c>
      <c r="M20" s="30">
        <f t="shared" si="3"/>
        <v>0</v>
      </c>
      <c r="N20" s="30">
        <f t="shared" si="4"/>
        <v>0</v>
      </c>
      <c r="O20" s="30">
        <f t="shared" si="5"/>
        <v>368.13504</v>
      </c>
      <c r="P20" s="30">
        <f t="shared" si="6"/>
        <v>0</v>
      </c>
      <c r="Q20" s="30">
        <f t="shared" si="7"/>
        <v>15461.500859159998</v>
      </c>
      <c r="R20" s="30">
        <f t="shared" si="8"/>
        <v>0</v>
      </c>
      <c r="S20" s="30">
        <f t="shared" si="9"/>
        <v>0</v>
      </c>
      <c r="T20" s="30">
        <f t="shared" si="10"/>
        <v>15461.500859159998</v>
      </c>
      <c r="U20" s="30">
        <f t="shared" si="11"/>
        <v>0</v>
      </c>
      <c r="V20" s="30">
        <f t="shared" si="12"/>
        <v>15829.635899159997</v>
      </c>
      <c r="W20" s="30">
        <f t="shared" si="13"/>
        <v>0</v>
      </c>
      <c r="X20" s="30">
        <f t="shared" si="13"/>
        <v>0</v>
      </c>
      <c r="Y20" s="30">
        <f t="shared" si="13"/>
        <v>15829.635899159997</v>
      </c>
      <c r="Z20" s="30">
        <f t="shared" si="13"/>
        <v>0</v>
      </c>
    </row>
    <row r="21" spans="1:26" ht="12.75">
      <c r="A21" s="49" t="s">
        <v>58</v>
      </c>
      <c r="B21" s="32">
        <f t="shared" si="0"/>
        <v>249.575</v>
      </c>
      <c r="C21" s="3">
        <f>'[4]Витим'!D5/2</f>
        <v>68.1395</v>
      </c>
      <c r="D21" s="3">
        <f>'[4]Витим'!E5/2</f>
        <v>103.335</v>
      </c>
      <c r="E21" s="3">
        <f>'[4]Витим'!F5/2</f>
        <v>19.7605</v>
      </c>
      <c r="F21" s="3">
        <f>'[4]Витим'!G5/2</f>
        <v>58.34</v>
      </c>
      <c r="G21" s="32">
        <f t="shared" si="1"/>
        <v>55.658</v>
      </c>
      <c r="H21" s="3">
        <f>'[4]Витим'!I5</f>
        <v>15.559</v>
      </c>
      <c r="I21" s="3">
        <f>'[4]Витим'!J5</f>
        <v>22.269</v>
      </c>
      <c r="J21" s="3">
        <f>'[4]Витим'!K5</f>
        <v>4.511</v>
      </c>
      <c r="K21" s="3">
        <f>'[4]Витим'!L5</f>
        <v>13.319</v>
      </c>
      <c r="L21" s="30">
        <f>SUM(M21:P21)</f>
        <v>7774.18591</v>
      </c>
      <c r="M21" s="30">
        <f t="shared" si="3"/>
        <v>1079.32968</v>
      </c>
      <c r="N21" s="30">
        <f t="shared" si="4"/>
        <v>2315.73735</v>
      </c>
      <c r="O21" s="30">
        <f t="shared" si="5"/>
        <v>619.68928</v>
      </c>
      <c r="P21" s="30">
        <f t="shared" si="6"/>
        <v>3759.4296</v>
      </c>
      <c r="Q21" s="30">
        <f>SUM(R21:U21)</f>
        <v>76286.5066437</v>
      </c>
      <c r="R21" s="30">
        <f>H21*$C$6*12/1000/2</f>
        <v>11486.5188804</v>
      </c>
      <c r="S21" s="30">
        <f>I21*$C$7*12/1000/2</f>
        <v>24306.432230339997</v>
      </c>
      <c r="T21" s="30">
        <f>J21*$C$8*12/1000/2</f>
        <v>7200.78777366</v>
      </c>
      <c r="U21" s="30">
        <f>K21*$C$9*12/1000/2</f>
        <v>33292.767759300004</v>
      </c>
      <c r="V21" s="30">
        <f>SUM(W21:Z21)</f>
        <v>84060.6925537</v>
      </c>
      <c r="W21" s="30">
        <f t="shared" si="13"/>
        <v>12565.848560400002</v>
      </c>
      <c r="X21" s="30">
        <f t="shared" si="13"/>
        <v>26622.169580339996</v>
      </c>
      <c r="Y21" s="30">
        <f t="shared" si="13"/>
        <v>7820.477053660001</v>
      </c>
      <c r="Z21" s="30">
        <f t="shared" si="13"/>
        <v>37052.19735930001</v>
      </c>
    </row>
    <row r="22" spans="1:26" ht="12.75">
      <c r="A22" s="4" t="s">
        <v>29</v>
      </c>
      <c r="B22" s="33">
        <f>SUM(B15:B21)</f>
        <v>40270.92225018761</v>
      </c>
      <c r="C22" s="32">
        <f aca="true" t="shared" si="14" ref="C22:Z22">SUM(C15:C21)</f>
        <v>30469.928677448144</v>
      </c>
      <c r="D22" s="32">
        <f t="shared" si="14"/>
        <v>2184.9452708945705</v>
      </c>
      <c r="E22" s="32">
        <f t="shared" si="14"/>
        <v>5104.955268832529</v>
      </c>
      <c r="F22" s="32">
        <f t="shared" si="14"/>
        <v>2511.093033012369</v>
      </c>
      <c r="G22" s="33">
        <f t="shared" si="14"/>
        <v>4936.000413755336</v>
      </c>
      <c r="H22" s="32">
        <f t="shared" si="14"/>
        <v>3554.270869573011</v>
      </c>
      <c r="I22" s="32">
        <f t="shared" si="14"/>
        <v>302.22650953755027</v>
      </c>
      <c r="J22" s="32">
        <f t="shared" si="14"/>
        <v>705.9996703324272</v>
      </c>
      <c r="K22" s="32">
        <f t="shared" si="14"/>
        <v>373.5033643123483</v>
      </c>
      <c r="L22" s="31">
        <f t="shared" si="14"/>
        <v>853514.5260494311</v>
      </c>
      <c r="M22" s="30">
        <f t="shared" si="14"/>
        <v>482643.6702507786</v>
      </c>
      <c r="N22" s="30">
        <f t="shared" si="14"/>
        <v>48964.62352074733</v>
      </c>
      <c r="O22" s="30">
        <f t="shared" si="14"/>
        <v>160091.3972305881</v>
      </c>
      <c r="P22" s="30">
        <f t="shared" si="14"/>
        <v>161814.83504731706</v>
      </c>
      <c r="Q22" s="31">
        <f t="shared" si="14"/>
        <v>9952577.708499616</v>
      </c>
      <c r="R22" s="30">
        <f t="shared" si="14"/>
        <v>5236434.22787789</v>
      </c>
      <c r="S22" s="30">
        <f t="shared" si="14"/>
        <v>635449.1178425568</v>
      </c>
      <c r="T22" s="30">
        <f t="shared" si="14"/>
        <v>2246735.720467409</v>
      </c>
      <c r="U22" s="30">
        <f t="shared" si="14"/>
        <v>1833958.6423117614</v>
      </c>
      <c r="V22" s="31">
        <f t="shared" si="14"/>
        <v>10806092.23454905</v>
      </c>
      <c r="W22" s="30">
        <f t="shared" si="14"/>
        <v>5719077.898128669</v>
      </c>
      <c r="X22" s="30">
        <f t="shared" si="14"/>
        <v>684413.7413633042</v>
      </c>
      <c r="Y22" s="30">
        <f t="shared" si="14"/>
        <v>2406827.1176979975</v>
      </c>
      <c r="Z22" s="30">
        <f t="shared" si="14"/>
        <v>1995773.4773590786</v>
      </c>
    </row>
    <row r="23" spans="1:26" ht="12.75" customHeight="1">
      <c r="A23" s="103" t="s">
        <v>32</v>
      </c>
      <c r="B23" s="101" t="s">
        <v>30</v>
      </c>
      <c r="C23" s="101"/>
      <c r="D23" s="101"/>
      <c r="E23" s="101"/>
      <c r="F23" s="101"/>
      <c r="G23" s="101" t="s">
        <v>31</v>
      </c>
      <c r="H23" s="101"/>
      <c r="I23" s="101"/>
      <c r="J23" s="101"/>
      <c r="K23" s="101"/>
      <c r="L23" s="101" t="s">
        <v>41</v>
      </c>
      <c r="M23" s="101"/>
      <c r="N23" s="101"/>
      <c r="O23" s="101"/>
      <c r="P23" s="101"/>
      <c r="Q23" s="101" t="s">
        <v>42</v>
      </c>
      <c r="R23" s="101"/>
      <c r="S23" s="101"/>
      <c r="T23" s="101"/>
      <c r="U23" s="101"/>
      <c r="V23" s="101" t="s">
        <v>43</v>
      </c>
      <c r="W23" s="101"/>
      <c r="X23" s="101"/>
      <c r="Y23" s="101"/>
      <c r="Z23" s="101"/>
    </row>
    <row r="24" spans="1:26" ht="12.75">
      <c r="A24" s="103"/>
      <c r="B24" s="101" t="s">
        <v>17</v>
      </c>
      <c r="C24" s="101" t="s">
        <v>18</v>
      </c>
      <c r="D24" s="101"/>
      <c r="E24" s="101"/>
      <c r="F24" s="101"/>
      <c r="G24" s="101" t="s">
        <v>17</v>
      </c>
      <c r="H24" s="101" t="s">
        <v>18</v>
      </c>
      <c r="I24" s="101"/>
      <c r="J24" s="101"/>
      <c r="K24" s="101"/>
      <c r="L24" s="101" t="s">
        <v>17</v>
      </c>
      <c r="M24" s="101" t="s">
        <v>18</v>
      </c>
      <c r="N24" s="101"/>
      <c r="O24" s="101"/>
      <c r="P24" s="101"/>
      <c r="Q24" s="101" t="s">
        <v>17</v>
      </c>
      <c r="R24" s="101" t="s">
        <v>18</v>
      </c>
      <c r="S24" s="101"/>
      <c r="T24" s="101"/>
      <c r="U24" s="101"/>
      <c r="V24" s="101" t="s">
        <v>17</v>
      </c>
      <c r="W24" s="101" t="s">
        <v>18</v>
      </c>
      <c r="X24" s="101"/>
      <c r="Y24" s="101"/>
      <c r="Z24" s="101"/>
    </row>
    <row r="25" spans="1:26" ht="12.75">
      <c r="A25" s="103"/>
      <c r="B25" s="101"/>
      <c r="C25" s="2" t="s">
        <v>19</v>
      </c>
      <c r="D25" s="2" t="s">
        <v>20</v>
      </c>
      <c r="E25" s="2" t="s">
        <v>21</v>
      </c>
      <c r="F25" s="2" t="s">
        <v>22</v>
      </c>
      <c r="G25" s="101"/>
      <c r="H25" s="2" t="s">
        <v>19</v>
      </c>
      <c r="I25" s="2" t="s">
        <v>20</v>
      </c>
      <c r="J25" s="2" t="s">
        <v>21</v>
      </c>
      <c r="K25" s="2" t="s">
        <v>22</v>
      </c>
      <c r="L25" s="101"/>
      <c r="M25" s="2" t="s">
        <v>19</v>
      </c>
      <c r="N25" s="2" t="s">
        <v>20</v>
      </c>
      <c r="O25" s="2" t="s">
        <v>21</v>
      </c>
      <c r="P25" s="2" t="s">
        <v>22</v>
      </c>
      <c r="Q25" s="101"/>
      <c r="R25" s="2" t="s">
        <v>19</v>
      </c>
      <c r="S25" s="2" t="s">
        <v>20</v>
      </c>
      <c r="T25" s="2" t="s">
        <v>21</v>
      </c>
      <c r="U25" s="2" t="s">
        <v>22</v>
      </c>
      <c r="V25" s="101"/>
      <c r="W25" s="2" t="s">
        <v>19</v>
      </c>
      <c r="X25" s="2" t="s">
        <v>20</v>
      </c>
      <c r="Y25" s="2" t="s">
        <v>21</v>
      </c>
      <c r="Z25" s="2" t="s">
        <v>22</v>
      </c>
    </row>
    <row r="26" spans="1:26" ht="12.75">
      <c r="A26" s="5" t="s">
        <v>23</v>
      </c>
      <c r="B26" s="32">
        <f aca="true" t="shared" si="15" ref="B26:B32">SUM(C26:F26)</f>
        <v>4583.868390999999</v>
      </c>
      <c r="C26" s="3">
        <v>0</v>
      </c>
      <c r="D26" s="3">
        <v>15.793430128455142</v>
      </c>
      <c r="E26" s="3">
        <v>891.1946558350137</v>
      </c>
      <c r="F26" s="3">
        <v>3676.8803050365304</v>
      </c>
      <c r="G26" s="32">
        <f aca="true" t="shared" si="16" ref="G26:G32">SUM(H26:K26)</f>
        <v>703.6141851529835</v>
      </c>
      <c r="H26" s="3">
        <v>0</v>
      </c>
      <c r="I26" s="3">
        <v>2.8765697702383686</v>
      </c>
      <c r="J26" s="3">
        <v>134.63209284405707</v>
      </c>
      <c r="K26" s="3">
        <v>566.1055225386881</v>
      </c>
      <c r="L26" s="30">
        <f aca="true" t="shared" si="17" ref="L26:L31">SUM(M26:P26)</f>
        <v>926812.3499762898</v>
      </c>
      <c r="M26" s="30">
        <f aca="true" t="shared" si="18" ref="M26:P32">C26*$E$6</f>
        <v>0</v>
      </c>
      <c r="N26" s="30">
        <f t="shared" si="18"/>
        <v>3193.273637672345</v>
      </c>
      <c r="O26" s="30">
        <f t="shared" si="18"/>
        <v>180190.6474632814</v>
      </c>
      <c r="P26" s="30">
        <f t="shared" si="18"/>
        <v>743428.4288753361</v>
      </c>
      <c r="Q26" s="30">
        <f aca="true" t="shared" si="19" ref="Q26:Q31">SUM(R26:U26)</f>
        <v>0</v>
      </c>
      <c r="R26" s="30"/>
      <c r="S26" s="30"/>
      <c r="T26" s="30"/>
      <c r="U26" s="30"/>
      <c r="V26" s="30">
        <f aca="true" t="shared" si="20" ref="V26:V31">SUM(W26:Z26)</f>
        <v>926812.3499762898</v>
      </c>
      <c r="W26" s="30">
        <f aca="true" t="shared" si="21" ref="W26:W32">M26+R26</f>
        <v>0</v>
      </c>
      <c r="X26" s="30">
        <f aca="true" t="shared" si="22" ref="X26:X31">N26+S26</f>
        <v>3193.273637672345</v>
      </c>
      <c r="Y26" s="30">
        <f aca="true" t="shared" si="23" ref="Y26:Y31">O26+T26</f>
        <v>180190.6474632814</v>
      </c>
      <c r="Z26" s="30">
        <f aca="true" t="shared" si="24" ref="Z26:Z31">P26+U26</f>
        <v>743428.4288753361</v>
      </c>
    </row>
    <row r="27" spans="1:26" ht="12.75">
      <c r="A27" s="5" t="s">
        <v>24</v>
      </c>
      <c r="B27" s="32">
        <f t="shared" si="15"/>
        <v>634.3195000000001</v>
      </c>
      <c r="C27" s="3">
        <v>0</v>
      </c>
      <c r="D27" s="3">
        <v>0</v>
      </c>
      <c r="E27" s="3">
        <v>30.5375</v>
      </c>
      <c r="F27" s="3">
        <v>603.782</v>
      </c>
      <c r="G27" s="32">
        <f t="shared" si="16"/>
        <v>98.33993999999998</v>
      </c>
      <c r="H27" s="3">
        <v>0</v>
      </c>
      <c r="I27" s="3">
        <v>0</v>
      </c>
      <c r="J27" s="3">
        <v>6.41474</v>
      </c>
      <c r="K27" s="3">
        <v>91.92519999999999</v>
      </c>
      <c r="L27" s="30">
        <f t="shared" si="17"/>
        <v>128253.059705</v>
      </c>
      <c r="M27" s="30">
        <f t="shared" si="18"/>
        <v>0</v>
      </c>
      <c r="N27" s="30">
        <f t="shared" si="18"/>
        <v>0</v>
      </c>
      <c r="O27" s="30">
        <f t="shared" si="18"/>
        <v>6174.377125</v>
      </c>
      <c r="P27" s="30">
        <f t="shared" si="18"/>
        <v>122078.68258000001</v>
      </c>
      <c r="Q27" s="30">
        <f t="shared" si="19"/>
        <v>0</v>
      </c>
      <c r="R27" s="30"/>
      <c r="S27" s="30"/>
      <c r="T27" s="30"/>
      <c r="U27" s="30"/>
      <c r="V27" s="30">
        <f t="shared" si="20"/>
        <v>128253.059705</v>
      </c>
      <c r="W27" s="30">
        <f t="shared" si="21"/>
        <v>0</v>
      </c>
      <c r="X27" s="30">
        <f t="shared" si="22"/>
        <v>0</v>
      </c>
      <c r="Y27" s="30">
        <f t="shared" si="23"/>
        <v>6174.377125</v>
      </c>
      <c r="Z27" s="30">
        <f t="shared" si="24"/>
        <v>122078.68258000001</v>
      </c>
    </row>
    <row r="28" spans="1:26" ht="12.75">
      <c r="A28" s="5" t="s">
        <v>25</v>
      </c>
      <c r="B28" s="32">
        <f t="shared" si="15"/>
        <v>67.42299999999999</v>
      </c>
      <c r="C28" s="3">
        <v>3.8629999999999995</v>
      </c>
      <c r="D28" s="3">
        <v>2.2980000000000005</v>
      </c>
      <c r="E28" s="3">
        <v>2.9450000000000003</v>
      </c>
      <c r="F28" s="3">
        <v>58.31699999999999</v>
      </c>
      <c r="G28" s="32">
        <f t="shared" si="16"/>
        <v>8.599333333333329</v>
      </c>
      <c r="H28" s="3">
        <v>0.4926414082237019</v>
      </c>
      <c r="I28" s="3">
        <v>0.29305978671966537</v>
      </c>
      <c r="J28" s="3">
        <v>0.37557052736702107</v>
      </c>
      <c r="K28" s="3">
        <v>7.438061611022941</v>
      </c>
      <c r="L28" s="30">
        <f t="shared" si="17"/>
        <v>13632.25637</v>
      </c>
      <c r="M28" s="30">
        <f t="shared" si="18"/>
        <v>781.0599699999999</v>
      </c>
      <c r="N28" s="30">
        <f t="shared" si="18"/>
        <v>464.6326200000001</v>
      </c>
      <c r="O28" s="30">
        <f t="shared" si="18"/>
        <v>595.44955</v>
      </c>
      <c r="P28" s="30">
        <f t="shared" si="18"/>
        <v>11791.11423</v>
      </c>
      <c r="Q28" s="30">
        <f t="shared" si="19"/>
        <v>0</v>
      </c>
      <c r="R28" s="30"/>
      <c r="S28" s="30"/>
      <c r="T28" s="30"/>
      <c r="U28" s="30"/>
      <c r="V28" s="30">
        <f t="shared" si="20"/>
        <v>13632.25637</v>
      </c>
      <c r="W28" s="30">
        <f t="shared" si="21"/>
        <v>781.0599699999999</v>
      </c>
      <c r="X28" s="30">
        <f t="shared" si="22"/>
        <v>464.6326200000001</v>
      </c>
      <c r="Y28" s="30">
        <f t="shared" si="23"/>
        <v>595.44955</v>
      </c>
      <c r="Z28" s="30">
        <f t="shared" si="24"/>
        <v>11791.11423</v>
      </c>
    </row>
    <row r="29" spans="1:26" ht="12.75">
      <c r="A29" s="5" t="s">
        <v>26</v>
      </c>
      <c r="B29" s="32">
        <f t="shared" si="15"/>
        <v>0</v>
      </c>
      <c r="C29" s="3">
        <v>0</v>
      </c>
      <c r="D29" s="3">
        <v>0</v>
      </c>
      <c r="E29" s="3">
        <v>0</v>
      </c>
      <c r="F29" s="3">
        <v>0</v>
      </c>
      <c r="G29" s="32">
        <f t="shared" si="16"/>
        <v>0</v>
      </c>
      <c r="H29" s="3">
        <v>0</v>
      </c>
      <c r="I29" s="3">
        <v>0</v>
      </c>
      <c r="J29" s="3">
        <v>0</v>
      </c>
      <c r="K29" s="3">
        <v>0</v>
      </c>
      <c r="L29" s="30">
        <f t="shared" si="17"/>
        <v>0</v>
      </c>
      <c r="M29" s="30">
        <f t="shared" si="18"/>
        <v>0</v>
      </c>
      <c r="N29" s="30">
        <f t="shared" si="18"/>
        <v>0</v>
      </c>
      <c r="O29" s="30">
        <f t="shared" si="18"/>
        <v>0</v>
      </c>
      <c r="P29" s="30">
        <f t="shared" si="18"/>
        <v>0</v>
      </c>
      <c r="Q29" s="30">
        <f t="shared" si="19"/>
        <v>0</v>
      </c>
      <c r="R29" s="30"/>
      <c r="S29" s="30"/>
      <c r="T29" s="30"/>
      <c r="U29" s="30"/>
      <c r="V29" s="30">
        <f t="shared" si="20"/>
        <v>0</v>
      </c>
      <c r="W29" s="30">
        <f t="shared" si="21"/>
        <v>0</v>
      </c>
      <c r="X29" s="30">
        <f t="shared" si="22"/>
        <v>0</v>
      </c>
      <c r="Y29" s="30">
        <f t="shared" si="23"/>
        <v>0</v>
      </c>
      <c r="Z29" s="30">
        <f t="shared" si="24"/>
        <v>0</v>
      </c>
    </row>
    <row r="30" spans="1:26" ht="12.75">
      <c r="A30" s="5" t="s">
        <v>27</v>
      </c>
      <c r="B30" s="32">
        <f t="shared" si="15"/>
        <v>0</v>
      </c>
      <c r="C30" s="3">
        <v>0</v>
      </c>
      <c r="D30" s="3">
        <v>0</v>
      </c>
      <c r="E30" s="3">
        <v>0</v>
      </c>
      <c r="F30" s="3">
        <v>0</v>
      </c>
      <c r="G30" s="32">
        <f t="shared" si="16"/>
        <v>0</v>
      </c>
      <c r="H30" s="3">
        <v>0</v>
      </c>
      <c r="I30" s="3">
        <v>0</v>
      </c>
      <c r="J30" s="3">
        <v>0</v>
      </c>
      <c r="K30" s="3">
        <v>0</v>
      </c>
      <c r="L30" s="30">
        <f t="shared" si="17"/>
        <v>0</v>
      </c>
      <c r="M30" s="30">
        <f t="shared" si="18"/>
        <v>0</v>
      </c>
      <c r="N30" s="30">
        <f t="shared" si="18"/>
        <v>0</v>
      </c>
      <c r="O30" s="30">
        <f t="shared" si="18"/>
        <v>0</v>
      </c>
      <c r="P30" s="30">
        <f t="shared" si="18"/>
        <v>0</v>
      </c>
      <c r="Q30" s="30">
        <f t="shared" si="19"/>
        <v>0</v>
      </c>
      <c r="R30" s="30"/>
      <c r="S30" s="30"/>
      <c r="T30" s="30"/>
      <c r="U30" s="30"/>
      <c r="V30" s="30">
        <f t="shared" si="20"/>
        <v>0</v>
      </c>
      <c r="W30" s="30">
        <f t="shared" si="21"/>
        <v>0</v>
      </c>
      <c r="X30" s="30">
        <f t="shared" si="22"/>
        <v>0</v>
      </c>
      <c r="Y30" s="30">
        <f t="shared" si="23"/>
        <v>0</v>
      </c>
      <c r="Z30" s="30">
        <f t="shared" si="24"/>
        <v>0</v>
      </c>
    </row>
    <row r="31" spans="1:26" ht="12.75">
      <c r="A31" s="6" t="s">
        <v>28</v>
      </c>
      <c r="B31" s="32">
        <f t="shared" si="15"/>
        <v>0</v>
      </c>
      <c r="C31" s="3">
        <v>0</v>
      </c>
      <c r="D31" s="3">
        <v>0</v>
      </c>
      <c r="E31" s="3">
        <v>0</v>
      </c>
      <c r="F31" s="3">
        <v>0</v>
      </c>
      <c r="G31" s="32">
        <f t="shared" si="16"/>
        <v>0</v>
      </c>
      <c r="H31" s="3">
        <v>0</v>
      </c>
      <c r="I31" s="3">
        <v>0</v>
      </c>
      <c r="J31" s="3">
        <v>0</v>
      </c>
      <c r="K31" s="3">
        <v>0</v>
      </c>
      <c r="L31" s="30">
        <f t="shared" si="17"/>
        <v>0</v>
      </c>
      <c r="M31" s="30">
        <f t="shared" si="18"/>
        <v>0</v>
      </c>
      <c r="N31" s="30">
        <f t="shared" si="18"/>
        <v>0</v>
      </c>
      <c r="O31" s="30">
        <f t="shared" si="18"/>
        <v>0</v>
      </c>
      <c r="P31" s="30">
        <f t="shared" si="18"/>
        <v>0</v>
      </c>
      <c r="Q31" s="30">
        <f t="shared" si="19"/>
        <v>0</v>
      </c>
      <c r="R31" s="30"/>
      <c r="S31" s="30"/>
      <c r="T31" s="30"/>
      <c r="U31" s="30"/>
      <c r="V31" s="30">
        <f t="shared" si="20"/>
        <v>0</v>
      </c>
      <c r="W31" s="30">
        <f t="shared" si="21"/>
        <v>0</v>
      </c>
      <c r="X31" s="30">
        <f t="shared" si="22"/>
        <v>0</v>
      </c>
      <c r="Y31" s="30">
        <f t="shared" si="23"/>
        <v>0</v>
      </c>
      <c r="Z31" s="30">
        <f t="shared" si="24"/>
        <v>0</v>
      </c>
    </row>
    <row r="32" spans="1:26" ht="12.75">
      <c r="A32" s="49" t="s">
        <v>58</v>
      </c>
      <c r="B32" s="32">
        <f t="shared" si="15"/>
        <v>35</v>
      </c>
      <c r="C32" s="3">
        <f>'[4]Витим'!D$6</f>
        <v>0</v>
      </c>
      <c r="D32" s="3">
        <f>'[4]Витим'!E$6</f>
        <v>0</v>
      </c>
      <c r="E32" s="3">
        <f>'[4]Витим'!F$6</f>
        <v>0</v>
      </c>
      <c r="F32" s="3">
        <f>'[4]Витим'!G$6/2</f>
        <v>35</v>
      </c>
      <c r="G32" s="32">
        <f t="shared" si="16"/>
        <v>0</v>
      </c>
      <c r="H32" s="3"/>
      <c r="I32" s="3"/>
      <c r="J32" s="3"/>
      <c r="K32" s="3"/>
      <c r="L32" s="30">
        <f>SUM(M32:P32)</f>
        <v>7076.65</v>
      </c>
      <c r="M32" s="30">
        <f t="shared" si="18"/>
        <v>0</v>
      </c>
      <c r="N32" s="30">
        <f t="shared" si="18"/>
        <v>0</v>
      </c>
      <c r="O32" s="30">
        <f t="shared" si="18"/>
        <v>0</v>
      </c>
      <c r="P32" s="30">
        <f t="shared" si="18"/>
        <v>7076.65</v>
      </c>
      <c r="Q32" s="30">
        <f>SUM(R32:U32)</f>
        <v>0</v>
      </c>
      <c r="R32" s="30"/>
      <c r="S32" s="30"/>
      <c r="T32" s="30"/>
      <c r="U32" s="30"/>
      <c r="V32" s="30">
        <f>SUM(W32:Z32)</f>
        <v>7076.65</v>
      </c>
      <c r="W32" s="30">
        <f t="shared" si="21"/>
        <v>0</v>
      </c>
      <c r="X32" s="30">
        <f>N32+S32</f>
        <v>0</v>
      </c>
      <c r="Y32" s="30">
        <f>O32+T32</f>
        <v>0</v>
      </c>
      <c r="Z32" s="30">
        <f>P32+U32</f>
        <v>7076.65</v>
      </c>
    </row>
    <row r="33" spans="1:26" ht="12.75">
      <c r="A33" s="4" t="s">
        <v>29</v>
      </c>
      <c r="B33" s="33">
        <f>SUM(B26:B32)</f>
        <v>5320.610890999999</v>
      </c>
      <c r="C33" s="32">
        <f aca="true" t="shared" si="25" ref="C33:Z33">SUM(C26:C32)</f>
        <v>3.8629999999999995</v>
      </c>
      <c r="D33" s="32">
        <f t="shared" si="25"/>
        <v>18.091430128455144</v>
      </c>
      <c r="E33" s="32">
        <f t="shared" si="25"/>
        <v>924.6771558350138</v>
      </c>
      <c r="F33" s="32">
        <f t="shared" si="25"/>
        <v>4373.979305036531</v>
      </c>
      <c r="G33" s="33">
        <f t="shared" si="25"/>
        <v>810.5534584863168</v>
      </c>
      <c r="H33" s="32">
        <f t="shared" si="25"/>
        <v>0.4926414082237019</v>
      </c>
      <c r="I33" s="32">
        <f t="shared" si="25"/>
        <v>3.169629556958034</v>
      </c>
      <c r="J33" s="32">
        <f t="shared" si="25"/>
        <v>141.42240337142408</v>
      </c>
      <c r="K33" s="32">
        <f t="shared" si="25"/>
        <v>665.468784149711</v>
      </c>
      <c r="L33" s="31">
        <f t="shared" si="25"/>
        <v>1075774.3160512897</v>
      </c>
      <c r="M33" s="30">
        <f t="shared" si="25"/>
        <v>781.0599699999999</v>
      </c>
      <c r="N33" s="30">
        <f t="shared" si="25"/>
        <v>3657.9062576723454</v>
      </c>
      <c r="O33" s="30">
        <f t="shared" si="25"/>
        <v>186960.4741382814</v>
      </c>
      <c r="P33" s="30">
        <f t="shared" si="25"/>
        <v>884374.8756853361</v>
      </c>
      <c r="Q33" s="31">
        <f t="shared" si="25"/>
        <v>0</v>
      </c>
      <c r="R33" s="30">
        <f t="shared" si="25"/>
        <v>0</v>
      </c>
      <c r="S33" s="30">
        <f t="shared" si="25"/>
        <v>0</v>
      </c>
      <c r="T33" s="30">
        <f t="shared" si="25"/>
        <v>0</v>
      </c>
      <c r="U33" s="30">
        <f t="shared" si="25"/>
        <v>0</v>
      </c>
      <c r="V33" s="31">
        <f t="shared" si="25"/>
        <v>1075774.3160512897</v>
      </c>
      <c r="W33" s="30">
        <f t="shared" si="25"/>
        <v>781.0599699999999</v>
      </c>
      <c r="X33" s="30">
        <f t="shared" si="25"/>
        <v>3657.9062576723454</v>
      </c>
      <c r="Y33" s="30">
        <f t="shared" si="25"/>
        <v>186960.4741382814</v>
      </c>
      <c r="Z33" s="30">
        <f t="shared" si="25"/>
        <v>884374.8756853361</v>
      </c>
    </row>
    <row r="34" spans="1:26" ht="12.75" customHeight="1">
      <c r="A34" s="103" t="s">
        <v>33</v>
      </c>
      <c r="B34" s="101" t="s">
        <v>30</v>
      </c>
      <c r="C34" s="101"/>
      <c r="D34" s="101"/>
      <c r="E34" s="101"/>
      <c r="F34" s="101"/>
      <c r="G34" s="101" t="s">
        <v>31</v>
      </c>
      <c r="H34" s="101"/>
      <c r="I34" s="101"/>
      <c r="J34" s="101"/>
      <c r="K34" s="101"/>
      <c r="L34" s="101" t="s">
        <v>41</v>
      </c>
      <c r="M34" s="101"/>
      <c r="N34" s="101"/>
      <c r="O34" s="101"/>
      <c r="P34" s="101"/>
      <c r="Q34" s="101" t="s">
        <v>42</v>
      </c>
      <c r="R34" s="101"/>
      <c r="S34" s="101"/>
      <c r="T34" s="101"/>
      <c r="U34" s="101"/>
      <c r="V34" s="101" t="s">
        <v>43</v>
      </c>
      <c r="W34" s="101"/>
      <c r="X34" s="101"/>
      <c r="Y34" s="101"/>
      <c r="Z34" s="101"/>
    </row>
    <row r="35" spans="1:26" ht="12.75">
      <c r="A35" s="103"/>
      <c r="B35" s="101" t="s">
        <v>17</v>
      </c>
      <c r="C35" s="101" t="s">
        <v>18</v>
      </c>
      <c r="D35" s="101"/>
      <c r="E35" s="101"/>
      <c r="F35" s="101"/>
      <c r="G35" s="101" t="s">
        <v>17</v>
      </c>
      <c r="H35" s="101" t="s">
        <v>18</v>
      </c>
      <c r="I35" s="101"/>
      <c r="J35" s="101"/>
      <c r="K35" s="101"/>
      <c r="L35" s="101" t="s">
        <v>17</v>
      </c>
      <c r="M35" s="101" t="s">
        <v>18</v>
      </c>
      <c r="N35" s="101"/>
      <c r="O35" s="101"/>
      <c r="P35" s="101"/>
      <c r="Q35" s="101" t="s">
        <v>17</v>
      </c>
      <c r="R35" s="101" t="s">
        <v>18</v>
      </c>
      <c r="S35" s="101"/>
      <c r="T35" s="101"/>
      <c r="U35" s="101"/>
      <c r="V35" s="101" t="s">
        <v>17</v>
      </c>
      <c r="W35" s="101" t="s">
        <v>18</v>
      </c>
      <c r="X35" s="101"/>
      <c r="Y35" s="101"/>
      <c r="Z35" s="101"/>
    </row>
    <row r="36" spans="1:26" ht="12.75">
      <c r="A36" s="103"/>
      <c r="B36" s="101"/>
      <c r="C36" s="2" t="s">
        <v>19</v>
      </c>
      <c r="D36" s="2" t="s">
        <v>20</v>
      </c>
      <c r="E36" s="2" t="s">
        <v>21</v>
      </c>
      <c r="F36" s="2" t="s">
        <v>22</v>
      </c>
      <c r="G36" s="101"/>
      <c r="H36" s="2" t="s">
        <v>19</v>
      </c>
      <c r="I36" s="2" t="s">
        <v>20</v>
      </c>
      <c r="J36" s="2" t="s">
        <v>21</v>
      </c>
      <c r="K36" s="2" t="s">
        <v>22</v>
      </c>
      <c r="L36" s="101"/>
      <c r="M36" s="2" t="s">
        <v>19</v>
      </c>
      <c r="N36" s="2" t="s">
        <v>20</v>
      </c>
      <c r="O36" s="2" t="s">
        <v>21</v>
      </c>
      <c r="P36" s="2" t="s">
        <v>22</v>
      </c>
      <c r="Q36" s="101"/>
      <c r="R36" s="2" t="s">
        <v>19</v>
      </c>
      <c r="S36" s="2" t="s">
        <v>20</v>
      </c>
      <c r="T36" s="2" t="s">
        <v>21</v>
      </c>
      <c r="U36" s="2" t="s">
        <v>22</v>
      </c>
      <c r="V36" s="101"/>
      <c r="W36" s="2" t="s">
        <v>19</v>
      </c>
      <c r="X36" s="2" t="s">
        <v>20</v>
      </c>
      <c r="Y36" s="2" t="s">
        <v>21</v>
      </c>
      <c r="Z36" s="2" t="s">
        <v>22</v>
      </c>
    </row>
    <row r="37" spans="1:26" ht="12.75">
      <c r="A37" s="5" t="s">
        <v>23</v>
      </c>
      <c r="B37" s="32">
        <f aca="true" t="shared" si="26" ref="B37:B43">SUM(C37:F37)</f>
        <v>17515.30284818761</v>
      </c>
      <c r="C37" s="7">
        <f aca="true" t="shared" si="27" ref="C37:F43">C15+C26</f>
        <v>4200.041301448142</v>
      </c>
      <c r="D37" s="7">
        <f t="shared" si="27"/>
        <v>2042.9783010230256</v>
      </c>
      <c r="E37" s="7">
        <f t="shared" si="27"/>
        <v>5609.726168667543</v>
      </c>
      <c r="F37" s="7">
        <f t="shared" si="27"/>
        <v>5662.557077048899</v>
      </c>
      <c r="G37" s="32">
        <f aca="true" t="shared" si="28" ref="G37:G43">SUM(H37:K37)</f>
        <v>2370.8030667128583</v>
      </c>
      <c r="H37" s="7">
        <f aca="true" t="shared" si="29" ref="H37:K43">H15+H26</f>
        <v>466.90914422267684</v>
      </c>
      <c r="I37" s="7">
        <f t="shared" si="29"/>
        <v>274.7734450843641</v>
      </c>
      <c r="J37" s="7">
        <f t="shared" si="29"/>
        <v>776.1545273113506</v>
      </c>
      <c r="K37" s="7">
        <f t="shared" si="29"/>
        <v>852.9659500944667</v>
      </c>
      <c r="L37" s="30">
        <f aca="true" t="shared" si="30" ref="L37:L42">SUM(M37:P37)</f>
        <v>1314700.376578881</v>
      </c>
      <c r="M37" s="30">
        <f aca="true" t="shared" si="31" ref="M37:P41">M15+M26</f>
        <v>66528.65421493856</v>
      </c>
      <c r="N37" s="30">
        <f t="shared" si="31"/>
        <v>48622.48659441967</v>
      </c>
      <c r="O37" s="30">
        <f t="shared" si="31"/>
        <v>328163.7957057095</v>
      </c>
      <c r="P37" s="30">
        <f t="shared" si="31"/>
        <v>871385.4400638131</v>
      </c>
      <c r="Q37" s="30">
        <f aca="true" t="shared" si="32" ref="Q37:Q42">SUM(R37:U37)</f>
        <v>4765131.286967388</v>
      </c>
      <c r="R37" s="30">
        <f aca="true" t="shared" si="33" ref="R37:U41">R15+R26</f>
        <v>689396.5808271978</v>
      </c>
      <c r="S37" s="30">
        <f t="shared" si="33"/>
        <v>593546.4523296063</v>
      </c>
      <c r="T37" s="30">
        <f t="shared" si="33"/>
        <v>2048089.9590515122</v>
      </c>
      <c r="U37" s="30">
        <f t="shared" si="33"/>
        <v>1434098.2947590724</v>
      </c>
      <c r="V37" s="30">
        <f aca="true" t="shared" si="34" ref="V37:V42">SUM(W37:Z37)</f>
        <v>6079831.66354627</v>
      </c>
      <c r="W37" s="30">
        <f aca="true" t="shared" si="35" ref="W37:W43">M37+R37</f>
        <v>755925.2350421363</v>
      </c>
      <c r="X37" s="30">
        <f aca="true" t="shared" si="36" ref="X37:X42">N37+S37</f>
        <v>642168.938924026</v>
      </c>
      <c r="Y37" s="30">
        <f aca="true" t="shared" si="37" ref="Y37:Y42">O37+T37</f>
        <v>2376253.754757222</v>
      </c>
      <c r="Z37" s="30">
        <f aca="true" t="shared" si="38" ref="Z37:Z42">P37+U37</f>
        <v>2305483.7348228856</v>
      </c>
    </row>
    <row r="38" spans="1:26" ht="12.75">
      <c r="A38" s="5" t="s">
        <v>24</v>
      </c>
      <c r="B38" s="32">
        <f t="shared" si="26"/>
        <v>1500.1525000000001</v>
      </c>
      <c r="C38" s="7">
        <f t="shared" si="27"/>
        <v>112.6993</v>
      </c>
      <c r="D38" s="7">
        <f t="shared" si="27"/>
        <v>25.0294</v>
      </c>
      <c r="E38" s="7">
        <f t="shared" si="27"/>
        <v>311.4132000000001</v>
      </c>
      <c r="F38" s="7">
        <f t="shared" si="27"/>
        <v>1051.0106</v>
      </c>
      <c r="G38" s="32">
        <f t="shared" si="28"/>
        <v>236.59251172318852</v>
      </c>
      <c r="H38" s="7">
        <f t="shared" si="29"/>
        <v>18.523000000000003</v>
      </c>
      <c r="I38" s="7">
        <f t="shared" si="29"/>
        <v>4.07</v>
      </c>
      <c r="J38" s="7">
        <f t="shared" si="29"/>
        <v>51.444011723188524</v>
      </c>
      <c r="K38" s="7">
        <f t="shared" si="29"/>
        <v>162.5555</v>
      </c>
      <c r="L38" s="30">
        <f t="shared" si="30"/>
        <v>168226.79840700002</v>
      </c>
      <c r="M38" s="30">
        <f t="shared" si="31"/>
        <v>1785.156912</v>
      </c>
      <c r="N38" s="30">
        <f t="shared" si="31"/>
        <v>560.908854</v>
      </c>
      <c r="O38" s="30">
        <f t="shared" si="31"/>
        <v>14982.639077</v>
      </c>
      <c r="P38" s="30">
        <f t="shared" si="31"/>
        <v>150898.093564</v>
      </c>
      <c r="Q38" s="30">
        <f t="shared" si="32"/>
        <v>533093.4975331114</v>
      </c>
      <c r="R38" s="30">
        <f t="shared" si="33"/>
        <v>27349.416957600006</v>
      </c>
      <c r="S38" s="30">
        <f t="shared" si="33"/>
        <v>8884.743740400001</v>
      </c>
      <c r="T38" s="30">
        <f t="shared" si="33"/>
        <v>143758.02672629125</v>
      </c>
      <c r="U38" s="30">
        <f t="shared" si="33"/>
        <v>353101.3101088201</v>
      </c>
      <c r="V38" s="30">
        <f t="shared" si="34"/>
        <v>701320.2959401114</v>
      </c>
      <c r="W38" s="30">
        <f t="shared" si="35"/>
        <v>29134.573869600004</v>
      </c>
      <c r="X38" s="30">
        <f t="shared" si="36"/>
        <v>9445.6525944</v>
      </c>
      <c r="Y38" s="30">
        <f t="shared" si="37"/>
        <v>158740.66580329125</v>
      </c>
      <c r="Z38" s="30">
        <f t="shared" si="38"/>
        <v>503999.4036728201</v>
      </c>
    </row>
    <row r="39" spans="1:26" ht="12.75">
      <c r="A39" s="5" t="s">
        <v>25</v>
      </c>
      <c r="B39" s="32">
        <f t="shared" si="26"/>
        <v>2685.2537929999994</v>
      </c>
      <c r="C39" s="7">
        <f t="shared" si="27"/>
        <v>2498.4015759999997</v>
      </c>
      <c r="D39" s="7">
        <f t="shared" si="27"/>
        <v>31.693999999999996</v>
      </c>
      <c r="E39" s="7">
        <f t="shared" si="27"/>
        <v>76.99355599999998</v>
      </c>
      <c r="F39" s="7">
        <f t="shared" si="27"/>
        <v>78.164661</v>
      </c>
      <c r="G39" s="32">
        <f t="shared" si="28"/>
        <v>341.7072938056062</v>
      </c>
      <c r="H39" s="7">
        <f t="shared" si="29"/>
        <v>316.8223667585573</v>
      </c>
      <c r="I39" s="7">
        <f t="shared" si="29"/>
        <v>4.2836940101442</v>
      </c>
      <c r="J39" s="7">
        <f t="shared" si="29"/>
        <v>10.469534669312164</v>
      </c>
      <c r="K39" s="7">
        <f t="shared" si="29"/>
        <v>10.13169836759257</v>
      </c>
      <c r="L39" s="30">
        <f t="shared" si="30"/>
        <v>57405.65776484</v>
      </c>
      <c r="M39" s="30">
        <f t="shared" si="31"/>
        <v>40294.55101384</v>
      </c>
      <c r="N39" s="30">
        <f t="shared" si="31"/>
        <v>1123.39698</v>
      </c>
      <c r="O39" s="30">
        <f t="shared" si="31"/>
        <v>2917.6122661599993</v>
      </c>
      <c r="P39" s="30">
        <f t="shared" si="31"/>
        <v>13070.09750484</v>
      </c>
      <c r="Q39" s="30">
        <f t="shared" si="32"/>
        <v>521467.58765625715</v>
      </c>
      <c r="R39" s="30">
        <f t="shared" si="33"/>
        <v>467064.3823726915</v>
      </c>
      <c r="S39" s="30">
        <f t="shared" si="33"/>
        <v>8711.489542210602</v>
      </c>
      <c r="T39" s="30">
        <f t="shared" si="33"/>
        <v>32225.4460567861</v>
      </c>
      <c r="U39" s="30">
        <f t="shared" si="33"/>
        <v>13466.269684568926</v>
      </c>
      <c r="V39" s="30">
        <f t="shared" si="34"/>
        <v>578873.2454210973</v>
      </c>
      <c r="W39" s="30">
        <f t="shared" si="35"/>
        <v>507358.93338653154</v>
      </c>
      <c r="X39" s="30">
        <f t="shared" si="36"/>
        <v>9834.886522210601</v>
      </c>
      <c r="Y39" s="30">
        <f t="shared" si="37"/>
        <v>35143.0583229461</v>
      </c>
      <c r="Z39" s="30">
        <f t="shared" si="38"/>
        <v>26536.367189408928</v>
      </c>
    </row>
    <row r="40" spans="1:26" ht="12.75">
      <c r="A40" s="5" t="s">
        <v>26</v>
      </c>
      <c r="B40" s="32">
        <f t="shared" si="26"/>
        <v>17144.100000000002</v>
      </c>
      <c r="C40" s="7">
        <f t="shared" si="27"/>
        <v>17144.100000000002</v>
      </c>
      <c r="D40" s="7">
        <f t="shared" si="27"/>
        <v>0</v>
      </c>
      <c r="E40" s="7">
        <f t="shared" si="27"/>
        <v>0</v>
      </c>
      <c r="F40" s="7">
        <f t="shared" si="27"/>
        <v>0</v>
      </c>
      <c r="G40" s="32">
        <f t="shared" si="28"/>
        <v>1973.75</v>
      </c>
      <c r="H40" s="7">
        <f t="shared" si="29"/>
        <v>1973.75</v>
      </c>
      <c r="I40" s="7">
        <f t="shared" si="29"/>
        <v>0</v>
      </c>
      <c r="J40" s="7">
        <f t="shared" si="29"/>
        <v>0</v>
      </c>
      <c r="K40" s="7">
        <f t="shared" si="29"/>
        <v>0</v>
      </c>
      <c r="L40" s="30">
        <f t="shared" si="30"/>
        <v>271562.54400000005</v>
      </c>
      <c r="M40" s="30">
        <f t="shared" si="31"/>
        <v>271562.54400000005</v>
      </c>
      <c r="N40" s="30">
        <f t="shared" si="31"/>
        <v>0</v>
      </c>
      <c r="O40" s="30">
        <f t="shared" si="31"/>
        <v>0</v>
      </c>
      <c r="P40" s="30">
        <f t="shared" si="31"/>
        <v>0</v>
      </c>
      <c r="Q40" s="30">
        <f t="shared" si="32"/>
        <v>2914263.981</v>
      </c>
      <c r="R40" s="30">
        <f t="shared" si="33"/>
        <v>2914263.981</v>
      </c>
      <c r="S40" s="30">
        <f t="shared" si="33"/>
        <v>0</v>
      </c>
      <c r="T40" s="30">
        <f t="shared" si="33"/>
        <v>0</v>
      </c>
      <c r="U40" s="30">
        <f t="shared" si="33"/>
        <v>0</v>
      </c>
      <c r="V40" s="30">
        <f t="shared" si="34"/>
        <v>3185826.5250000004</v>
      </c>
      <c r="W40" s="30">
        <f t="shared" si="35"/>
        <v>3185826.5250000004</v>
      </c>
      <c r="X40" s="30">
        <f t="shared" si="36"/>
        <v>0</v>
      </c>
      <c r="Y40" s="30">
        <f t="shared" si="37"/>
        <v>0</v>
      </c>
      <c r="Z40" s="30">
        <f t="shared" si="38"/>
        <v>0</v>
      </c>
    </row>
    <row r="41" spans="1:26" ht="12.75">
      <c r="A41" s="5" t="s">
        <v>27</v>
      </c>
      <c r="B41" s="32">
        <f t="shared" si="26"/>
        <v>6450.41</v>
      </c>
      <c r="C41" s="7">
        <f t="shared" si="27"/>
        <v>6450.41</v>
      </c>
      <c r="D41" s="7">
        <f t="shared" si="27"/>
        <v>0</v>
      </c>
      <c r="E41" s="7">
        <f t="shared" si="27"/>
        <v>0</v>
      </c>
      <c r="F41" s="7">
        <f t="shared" si="27"/>
        <v>0</v>
      </c>
      <c r="G41" s="32">
        <f t="shared" si="28"/>
        <v>763.2000000000002</v>
      </c>
      <c r="H41" s="7">
        <f t="shared" si="29"/>
        <v>763.2000000000002</v>
      </c>
      <c r="I41" s="7">
        <f t="shared" si="29"/>
        <v>0</v>
      </c>
      <c r="J41" s="7">
        <f t="shared" si="29"/>
        <v>0</v>
      </c>
      <c r="K41" s="7">
        <f t="shared" si="29"/>
        <v>0</v>
      </c>
      <c r="L41" s="30">
        <f t="shared" si="30"/>
        <v>102174.4944</v>
      </c>
      <c r="M41" s="30">
        <f t="shared" si="31"/>
        <v>102174.4944</v>
      </c>
      <c r="N41" s="30">
        <f t="shared" si="31"/>
        <v>0</v>
      </c>
      <c r="O41" s="30">
        <f t="shared" si="31"/>
        <v>0</v>
      </c>
      <c r="P41" s="30">
        <f t="shared" si="31"/>
        <v>0</v>
      </c>
      <c r="Q41" s="30">
        <f t="shared" si="32"/>
        <v>1126873.3478400002</v>
      </c>
      <c r="R41" s="30">
        <f t="shared" si="33"/>
        <v>1126873.3478400002</v>
      </c>
      <c r="S41" s="30">
        <f t="shared" si="33"/>
        <v>0</v>
      </c>
      <c r="T41" s="30">
        <f t="shared" si="33"/>
        <v>0</v>
      </c>
      <c r="U41" s="30">
        <f t="shared" si="33"/>
        <v>0</v>
      </c>
      <c r="V41" s="30">
        <f t="shared" si="34"/>
        <v>1229047.8422400001</v>
      </c>
      <c r="W41" s="30">
        <f t="shared" si="35"/>
        <v>1229047.8422400001</v>
      </c>
      <c r="X41" s="30">
        <f t="shared" si="36"/>
        <v>0</v>
      </c>
      <c r="Y41" s="30">
        <f t="shared" si="37"/>
        <v>0</v>
      </c>
      <c r="Z41" s="30">
        <f t="shared" si="38"/>
        <v>0</v>
      </c>
    </row>
    <row r="42" spans="1:26" ht="12.75">
      <c r="A42" s="6" t="s">
        <v>28</v>
      </c>
      <c r="B42" s="32">
        <f t="shared" si="26"/>
        <v>11.739</v>
      </c>
      <c r="C42" s="7">
        <f t="shared" si="27"/>
        <v>0</v>
      </c>
      <c r="D42" s="7">
        <f t="shared" si="27"/>
        <v>0</v>
      </c>
      <c r="E42" s="7">
        <f t="shared" si="27"/>
        <v>11.739</v>
      </c>
      <c r="F42" s="7">
        <f t="shared" si="27"/>
        <v>0</v>
      </c>
      <c r="G42" s="32">
        <f t="shared" si="28"/>
        <v>4.843</v>
      </c>
      <c r="H42" s="7">
        <f t="shared" si="29"/>
        <v>0</v>
      </c>
      <c r="I42" s="7">
        <f t="shared" si="29"/>
        <v>0</v>
      </c>
      <c r="J42" s="7">
        <f t="shared" si="29"/>
        <v>4.843</v>
      </c>
      <c r="K42" s="7">
        <f t="shared" si="29"/>
        <v>0</v>
      </c>
      <c r="L42" s="30">
        <f t="shared" si="30"/>
        <v>368.13504</v>
      </c>
      <c r="M42" s="30">
        <f aca="true" t="shared" si="39" ref="M42:P43">M20+M31</f>
        <v>0</v>
      </c>
      <c r="N42" s="30">
        <f t="shared" si="39"/>
        <v>0</v>
      </c>
      <c r="O42" s="30">
        <f t="shared" si="39"/>
        <v>368.13504</v>
      </c>
      <c r="P42" s="30">
        <f t="shared" si="39"/>
        <v>0</v>
      </c>
      <c r="Q42" s="30">
        <f t="shared" si="32"/>
        <v>15461.500859159998</v>
      </c>
      <c r="R42" s="30">
        <f aca="true" t="shared" si="40" ref="R42:U43">R20+R31</f>
        <v>0</v>
      </c>
      <c r="S42" s="30">
        <f t="shared" si="40"/>
        <v>0</v>
      </c>
      <c r="T42" s="30">
        <f t="shared" si="40"/>
        <v>15461.500859159998</v>
      </c>
      <c r="U42" s="30">
        <f t="shared" si="40"/>
        <v>0</v>
      </c>
      <c r="V42" s="36">
        <f t="shared" si="34"/>
        <v>15829.635899159997</v>
      </c>
      <c r="W42" s="30">
        <f t="shared" si="35"/>
        <v>0</v>
      </c>
      <c r="X42" s="30">
        <f t="shared" si="36"/>
        <v>0</v>
      </c>
      <c r="Y42" s="30">
        <f t="shared" si="37"/>
        <v>15829.635899159997</v>
      </c>
      <c r="Z42" s="30">
        <f t="shared" si="38"/>
        <v>0</v>
      </c>
    </row>
    <row r="43" spans="1:26" ht="13.5" thickBot="1">
      <c r="A43" s="49" t="s">
        <v>58</v>
      </c>
      <c r="B43" s="32">
        <f t="shared" si="26"/>
        <v>284.575</v>
      </c>
      <c r="C43" s="7">
        <f t="shared" si="27"/>
        <v>68.1395</v>
      </c>
      <c r="D43" s="7">
        <f t="shared" si="27"/>
        <v>103.335</v>
      </c>
      <c r="E43" s="7">
        <f t="shared" si="27"/>
        <v>19.7605</v>
      </c>
      <c r="F43" s="7">
        <f t="shared" si="27"/>
        <v>93.34</v>
      </c>
      <c r="G43" s="32">
        <f t="shared" si="28"/>
        <v>55.658</v>
      </c>
      <c r="H43" s="7">
        <f t="shared" si="29"/>
        <v>15.559</v>
      </c>
      <c r="I43" s="7">
        <f t="shared" si="29"/>
        <v>22.269</v>
      </c>
      <c r="J43" s="7">
        <f t="shared" si="29"/>
        <v>4.511</v>
      </c>
      <c r="K43" s="7">
        <f t="shared" si="29"/>
        <v>13.319</v>
      </c>
      <c r="L43" s="30">
        <f>SUM(M43:P43)</f>
        <v>14850.83591</v>
      </c>
      <c r="M43" s="30">
        <f t="shared" si="39"/>
        <v>1079.32968</v>
      </c>
      <c r="N43" s="30">
        <f t="shared" si="39"/>
        <v>2315.73735</v>
      </c>
      <c r="O43" s="30">
        <f t="shared" si="39"/>
        <v>619.68928</v>
      </c>
      <c r="P43" s="30">
        <f t="shared" si="39"/>
        <v>10836.0796</v>
      </c>
      <c r="Q43" s="30">
        <f>SUM(R43:U43)</f>
        <v>76286.5066437</v>
      </c>
      <c r="R43" s="30">
        <f t="shared" si="40"/>
        <v>11486.5188804</v>
      </c>
      <c r="S43" s="30">
        <f t="shared" si="40"/>
        <v>24306.432230339997</v>
      </c>
      <c r="T43" s="30">
        <f t="shared" si="40"/>
        <v>7200.78777366</v>
      </c>
      <c r="U43" s="30">
        <f t="shared" si="40"/>
        <v>33292.767759300004</v>
      </c>
      <c r="V43" s="36">
        <f>SUM(W43:Z43)</f>
        <v>91137.3425537</v>
      </c>
      <c r="W43" s="30">
        <f t="shared" si="35"/>
        <v>12565.848560400002</v>
      </c>
      <c r="X43" s="30">
        <f>N43+S43</f>
        <v>26622.169580339996</v>
      </c>
      <c r="Y43" s="30">
        <f>O43+T43</f>
        <v>7820.477053660001</v>
      </c>
      <c r="Z43" s="30">
        <f>P43+U43</f>
        <v>44128.8473593</v>
      </c>
    </row>
    <row r="44" spans="1:26" ht="13.5" thickBot="1">
      <c r="A44" s="4" t="s">
        <v>29</v>
      </c>
      <c r="B44" s="33">
        <f>SUM(B37:B43)</f>
        <v>45591.53314118761</v>
      </c>
      <c r="C44" s="32">
        <f aca="true" t="shared" si="41" ref="C44:Z44">SUM(C37:C43)</f>
        <v>30473.791677448145</v>
      </c>
      <c r="D44" s="32">
        <f t="shared" si="41"/>
        <v>2203.0367010230257</v>
      </c>
      <c r="E44" s="32">
        <f t="shared" si="41"/>
        <v>6029.632424667543</v>
      </c>
      <c r="F44" s="32">
        <f t="shared" si="41"/>
        <v>6885.072338048899</v>
      </c>
      <c r="G44" s="33">
        <f t="shared" si="41"/>
        <v>5746.553872241653</v>
      </c>
      <c r="H44" s="32">
        <f t="shared" si="41"/>
        <v>3554.7635109812345</v>
      </c>
      <c r="I44" s="32">
        <f t="shared" si="41"/>
        <v>305.39613909450827</v>
      </c>
      <c r="J44" s="32">
        <f t="shared" si="41"/>
        <v>847.4220737038512</v>
      </c>
      <c r="K44" s="32">
        <f t="shared" si="41"/>
        <v>1038.9721484620593</v>
      </c>
      <c r="L44" s="31">
        <f t="shared" si="41"/>
        <v>1929288.8421007209</v>
      </c>
      <c r="M44" s="30">
        <f t="shared" si="41"/>
        <v>483424.73022077867</v>
      </c>
      <c r="N44" s="30">
        <f t="shared" si="41"/>
        <v>52622.529778419674</v>
      </c>
      <c r="O44" s="30">
        <f t="shared" si="41"/>
        <v>347051.8713688695</v>
      </c>
      <c r="P44" s="30">
        <f t="shared" si="41"/>
        <v>1046189.7107326532</v>
      </c>
      <c r="Q44" s="31">
        <f t="shared" si="41"/>
        <v>9952577.708499616</v>
      </c>
      <c r="R44" s="30">
        <f t="shared" si="41"/>
        <v>5236434.22787789</v>
      </c>
      <c r="S44" s="30">
        <f t="shared" si="41"/>
        <v>635449.1178425568</v>
      </c>
      <c r="T44" s="30">
        <f t="shared" si="41"/>
        <v>2246735.720467409</v>
      </c>
      <c r="U44" s="34">
        <f t="shared" si="41"/>
        <v>1833958.6423117614</v>
      </c>
      <c r="V44" s="37">
        <f t="shared" si="41"/>
        <v>11881866.550600339</v>
      </c>
      <c r="W44" s="35">
        <f t="shared" si="41"/>
        <v>5719858.958098669</v>
      </c>
      <c r="X44" s="30">
        <f t="shared" si="41"/>
        <v>688071.6476209766</v>
      </c>
      <c r="Y44" s="30">
        <f t="shared" si="41"/>
        <v>2593787.5918362793</v>
      </c>
      <c r="Z44" s="30">
        <f t="shared" si="41"/>
        <v>2880148.3530444144</v>
      </c>
    </row>
    <row r="46" spans="1:5" ht="12.75" outlineLevel="1">
      <c r="A46" s="29" t="s">
        <v>47</v>
      </c>
      <c r="B46" s="28"/>
      <c r="C46" s="28"/>
      <c r="D46" s="28"/>
      <c r="E46" s="28"/>
    </row>
    <row r="47" spans="1:5" ht="30" customHeight="1" outlineLevel="1">
      <c r="A47" s="109"/>
      <c r="B47" s="111" t="s">
        <v>48</v>
      </c>
      <c r="C47" s="110" t="s">
        <v>51</v>
      </c>
      <c r="D47" s="110"/>
      <c r="E47" s="110"/>
    </row>
    <row r="48" spans="1:6" ht="12.75" outlineLevel="1">
      <c r="A48" s="109"/>
      <c r="B48" s="111"/>
      <c r="C48" s="41" t="s">
        <v>49</v>
      </c>
      <c r="D48" s="41" t="s">
        <v>50</v>
      </c>
      <c r="E48" s="42" t="s">
        <v>29</v>
      </c>
      <c r="F48" s="38"/>
    </row>
    <row r="49" spans="1:6" ht="12.75" outlineLevel="1">
      <c r="A49" s="4" t="s">
        <v>44</v>
      </c>
      <c r="B49" s="43">
        <f>B50+B51+B52</f>
        <v>4374.664999999999</v>
      </c>
      <c r="C49" s="40">
        <f>C50+C51+C52</f>
        <v>1152121.9234592568</v>
      </c>
      <c r="D49" s="40">
        <f>D50+D51+D52</f>
        <v>1394384.254</v>
      </c>
      <c r="E49" s="39">
        <f>E50+E51+E52</f>
        <v>2546506.1774592567</v>
      </c>
      <c r="F49" s="46"/>
    </row>
    <row r="50" spans="1:6" ht="12.75" outlineLevel="1">
      <c r="A50" s="5" t="s">
        <v>45</v>
      </c>
      <c r="B50" s="44">
        <f>'[2]2010'!E41</f>
        <v>3173.252</v>
      </c>
      <c r="C50" s="45">
        <f>'[2]2010'!I41</f>
        <v>836853.7640639191</v>
      </c>
      <c r="D50" s="45">
        <f>'[2]2010'!H41</f>
        <v>991059</v>
      </c>
      <c r="E50" s="40">
        <f>C50+D50</f>
        <v>1827912.764063919</v>
      </c>
      <c r="F50" s="46" t="e">
        <f>E50-#REF!</f>
        <v>#REF!</v>
      </c>
    </row>
    <row r="51" spans="1:6" ht="12.75" outlineLevel="1">
      <c r="A51" s="5" t="s">
        <v>46</v>
      </c>
      <c r="B51" s="44">
        <f>'[2]2010'!E42</f>
        <v>1115.412999999999</v>
      </c>
      <c r="C51" s="45">
        <f>'[2]2010'!I42</f>
        <v>302679.4733953377</v>
      </c>
      <c r="D51" s="45">
        <f>'[2]2010'!H42</f>
        <v>352136.60400000005</v>
      </c>
      <c r="E51" s="40">
        <f>C51+D51</f>
        <v>654816.0773953378</v>
      </c>
      <c r="F51" s="46" t="e">
        <f>E51-(#REF!-#REF!)</f>
        <v>#REF!</v>
      </c>
    </row>
    <row r="52" spans="1:16" ht="12.75" outlineLevel="1">
      <c r="A52" s="51" t="s">
        <v>55</v>
      </c>
      <c r="B52" s="44">
        <f>'[3]Потери ТСО 2010'!$C$51</f>
        <v>85.99999999999999</v>
      </c>
      <c r="C52" s="45">
        <v>12588.686</v>
      </c>
      <c r="D52" s="45">
        <v>51188.65</v>
      </c>
      <c r="E52" s="40">
        <f>C52+D52</f>
        <v>63777.336</v>
      </c>
      <c r="F52" s="46"/>
      <c r="M52" s="55"/>
      <c r="N52" s="55"/>
      <c r="O52" s="55"/>
      <c r="P52" s="55"/>
    </row>
    <row r="53" ht="12.75">
      <c r="N53" s="28" t="s">
        <v>62</v>
      </c>
    </row>
    <row r="54" spans="8:21" ht="12.75">
      <c r="H54" s="58"/>
      <c r="N54" s="46">
        <v>1146.7552795999964</v>
      </c>
      <c r="O54" s="46">
        <v>31.007611600000132</v>
      </c>
      <c r="R54" s="56"/>
      <c r="S54" s="57">
        <v>143.53117959006858</v>
      </c>
      <c r="T54" s="57">
        <v>791.49039225012</v>
      </c>
      <c r="U54" s="57">
        <v>3675.7275313502028</v>
      </c>
    </row>
    <row r="55" spans="1:21" ht="12.75">
      <c r="A55" s="59" t="s">
        <v>52</v>
      </c>
      <c r="J55" s="71"/>
      <c r="N55" s="52"/>
      <c r="O55" s="52"/>
      <c r="P55" s="52"/>
      <c r="R55" s="52"/>
      <c r="S55" s="52"/>
      <c r="T55" s="52"/>
      <c r="U55" s="52"/>
    </row>
    <row r="56" spans="1:26" ht="12.75">
      <c r="A56" s="103" t="s">
        <v>16</v>
      </c>
      <c r="B56" s="101" t="s">
        <v>30</v>
      </c>
      <c r="C56" s="101"/>
      <c r="D56" s="101"/>
      <c r="E56" s="101"/>
      <c r="F56" s="101"/>
      <c r="G56" s="101" t="s">
        <v>31</v>
      </c>
      <c r="H56" s="101"/>
      <c r="I56" s="101"/>
      <c r="J56" s="101"/>
      <c r="K56" s="101"/>
      <c r="L56" s="101" t="s">
        <v>41</v>
      </c>
      <c r="M56" s="101"/>
      <c r="N56" s="101"/>
      <c r="O56" s="101"/>
      <c r="P56" s="101"/>
      <c r="Q56" s="101" t="s">
        <v>42</v>
      </c>
      <c r="R56" s="101"/>
      <c r="S56" s="101"/>
      <c r="T56" s="101"/>
      <c r="U56" s="101"/>
      <c r="V56" s="101" t="s">
        <v>43</v>
      </c>
      <c r="W56" s="101"/>
      <c r="X56" s="101"/>
      <c r="Y56" s="101"/>
      <c r="Z56" s="101"/>
    </row>
    <row r="57" spans="1:26" ht="12.75">
      <c r="A57" s="103"/>
      <c r="B57" s="101" t="s">
        <v>17</v>
      </c>
      <c r="C57" s="101" t="s">
        <v>18</v>
      </c>
      <c r="D57" s="101"/>
      <c r="E57" s="101"/>
      <c r="F57" s="101"/>
      <c r="G57" s="101" t="s">
        <v>17</v>
      </c>
      <c r="H57" s="101" t="s">
        <v>18</v>
      </c>
      <c r="I57" s="101"/>
      <c r="J57" s="101"/>
      <c r="K57" s="101"/>
      <c r="L57" s="101" t="s">
        <v>17</v>
      </c>
      <c r="M57" s="101" t="s">
        <v>18</v>
      </c>
      <c r="N57" s="101"/>
      <c r="O57" s="101"/>
      <c r="P57" s="101"/>
      <c r="Q57" s="101" t="s">
        <v>17</v>
      </c>
      <c r="R57" s="101" t="s">
        <v>18</v>
      </c>
      <c r="S57" s="101"/>
      <c r="T57" s="101"/>
      <c r="U57" s="101"/>
      <c r="V57" s="101" t="s">
        <v>17</v>
      </c>
      <c r="W57" s="101" t="s">
        <v>18</v>
      </c>
      <c r="X57" s="101"/>
      <c r="Y57" s="101"/>
      <c r="Z57" s="101"/>
    </row>
    <row r="58" spans="1:29" ht="12.75">
      <c r="A58" s="103"/>
      <c r="B58" s="101"/>
      <c r="C58" s="2" t="s">
        <v>19</v>
      </c>
      <c r="D58" s="2" t="s">
        <v>20</v>
      </c>
      <c r="E58" s="2" t="s">
        <v>21</v>
      </c>
      <c r="F58" s="2" t="s">
        <v>22</v>
      </c>
      <c r="G58" s="101"/>
      <c r="H58" s="2" t="s">
        <v>19</v>
      </c>
      <c r="I58" s="2" t="s">
        <v>20</v>
      </c>
      <c r="J58" s="2" t="s">
        <v>21</v>
      </c>
      <c r="K58" s="2" t="s">
        <v>22</v>
      </c>
      <c r="L58" s="101"/>
      <c r="M58" s="2" t="s">
        <v>19</v>
      </c>
      <c r="N58" s="2" t="s">
        <v>20</v>
      </c>
      <c r="O58" s="2" t="s">
        <v>21</v>
      </c>
      <c r="P58" s="2" t="s">
        <v>22</v>
      </c>
      <c r="Q58" s="101"/>
      <c r="R58" s="2" t="s">
        <v>19</v>
      </c>
      <c r="S58" s="2" t="s">
        <v>20</v>
      </c>
      <c r="T58" s="2" t="s">
        <v>21</v>
      </c>
      <c r="U58" s="2" t="s">
        <v>22</v>
      </c>
      <c r="V58" s="101"/>
      <c r="W58" s="2" t="s">
        <v>19</v>
      </c>
      <c r="X58" s="2" t="s">
        <v>20</v>
      </c>
      <c r="Y58" s="2" t="s">
        <v>21</v>
      </c>
      <c r="Z58" s="2" t="s">
        <v>22</v>
      </c>
      <c r="AA58" s="27" t="s">
        <v>57</v>
      </c>
      <c r="AB58" s="53" t="s">
        <v>59</v>
      </c>
      <c r="AC58" s="53" t="s">
        <v>60</v>
      </c>
    </row>
    <row r="59" spans="1:30" ht="12.75">
      <c r="A59" s="5" t="s">
        <v>61</v>
      </c>
      <c r="B59" s="32">
        <f aca="true" t="shared" si="42" ref="B59:B65">SUM(C59:F59)</f>
        <v>12476.638506000001</v>
      </c>
      <c r="C59" s="3">
        <f>('[1]Тов. продукция факт 2010'!$GU$14+'[1]Тов. продукция факт 2010'!$HA$14)/1000</f>
        <v>4535.257414</v>
      </c>
      <c r="D59" s="3">
        <f>('[1]Тов. продукция факт 2010'!$GU$23+'[1]Тов. продукция факт 2010'!$HA$23)/1000</f>
        <v>1311.9502619999998</v>
      </c>
      <c r="E59" s="3">
        <f>('[1]Тов. продукция факт 2010'!$GU$32+'[1]Тов. продукция факт 2010'!$HA$32)/1000</f>
        <v>4842.591181000001</v>
      </c>
      <c r="F59" s="3">
        <f>('[1]Тов. продукция факт 2010'!$GU$41+'[1]Тов. продукция факт 2010'!$HA$41)/1000</f>
        <v>1786.839649</v>
      </c>
      <c r="G59" s="32">
        <f aca="true" t="shared" si="43" ref="G59:G65">SUM(H59:K59)</f>
        <v>1682.3078333333333</v>
      </c>
      <c r="H59" s="3">
        <f>'[1]Тов. продукция факт 2010'!$GU$11+'[1]Тов. продукция факт 2010'!$HA$11</f>
        <v>466.90899999999993</v>
      </c>
      <c r="I59" s="3">
        <f>'[1]Тов. продукция факт 2010'!$GU$20+'[1]Тов. продукция факт 2010'!$HA$20</f>
        <v>272.0285</v>
      </c>
      <c r="J59" s="3">
        <f>'[1]Тов. продукция факт 2010'!$GU$29+'[1]Тов. продукция факт 2010'!$HA$29</f>
        <v>655.0398333333333</v>
      </c>
      <c r="K59" s="3">
        <f>'[1]Тов. продукция факт 2010'!$GU$38+'[1]Тов. продукция факт 2010'!$HA$38</f>
        <v>288.33050000000003</v>
      </c>
      <c r="L59" s="30">
        <f aca="true" t="shared" si="44" ref="L59:L65">SUM(M59:P59)</f>
        <v>367100.1339473</v>
      </c>
      <c r="M59" s="30">
        <f aca="true" t="shared" si="45" ref="M59:M65">C59*$B$6</f>
        <v>71838.47743776</v>
      </c>
      <c r="N59" s="30">
        <f>D59*$B$7-N54</f>
        <v>28254.050091819998</v>
      </c>
      <c r="O59" s="30">
        <f aca="true" t="shared" si="46" ref="O59:O65">E59*$B$8</f>
        <v>151863.65943616003</v>
      </c>
      <c r="P59" s="30">
        <f aca="true" t="shared" si="47" ref="P59:P65">F59*$B$9</f>
        <v>115143.94698156</v>
      </c>
      <c r="Q59" s="30">
        <f aca="true" t="shared" si="48" ref="Q59:Q65">SUM(R59:U59)</f>
        <v>4811311.89635411</v>
      </c>
      <c r="R59" s="30">
        <f aca="true" t="shared" si="49" ref="R59:R64">H59*$C$6*12/1000</f>
        <v>689396.3678808</v>
      </c>
      <c r="S59" s="30">
        <f>I59*$C$7*12/1000-S54</f>
        <v>593690.25569643</v>
      </c>
      <c r="T59" s="30">
        <f>J59*$C$8*12/1000-T54</f>
        <v>2090453.38796153</v>
      </c>
      <c r="U59" s="30">
        <f>K59*$C$9*12/1000-U54</f>
        <v>1437771.88481535</v>
      </c>
      <c r="V59" s="30">
        <f aca="true" t="shared" si="50" ref="V59:V65">SUM(W59:Z59)</f>
        <v>5178412.03030141</v>
      </c>
      <c r="W59" s="30">
        <f aca="true" t="shared" si="51" ref="W59:W65">M59+R59</f>
        <v>761234.84531856</v>
      </c>
      <c r="X59" s="30">
        <f aca="true" t="shared" si="52" ref="X59:X64">N59+S59</f>
        <v>621944.3057882499</v>
      </c>
      <c r="Y59" s="30">
        <f aca="true" t="shared" si="53" ref="Y59:Y64">O59+T59</f>
        <v>2242317.04739769</v>
      </c>
      <c r="Z59" s="30">
        <f aca="true" t="shared" si="54" ref="Z59:Z64">P59+U59</f>
        <v>1552915.83179691</v>
      </c>
      <c r="AA59" s="46">
        <f>V59-'[1]Тов. продукция факт 2010'!$GU$9-'[1]Тов. продукция факт 2010'!$HA$9</f>
        <v>-0.005000000761356205</v>
      </c>
      <c r="AB59" s="46">
        <f>ROUND(L59-'[1]Тов. продукция факт 2010'!$GU$8-'[1]Тов. продукция факт 2010'!$HA$8,3)</f>
        <v>0</v>
      </c>
      <c r="AC59" s="46">
        <f>Q59-'[1]Тов. продукция факт 2010'!$GU$7-'[1]Тов. продукция факт 2010'!$HA$7</f>
        <v>-0.005000000330255716</v>
      </c>
      <c r="AD59" s="55">
        <f>ROUND(V59-'[5]Товарная продукция'!$I$9-'[5]Товарная продукция'!$O$9,3)</f>
        <v>0</v>
      </c>
    </row>
    <row r="60" spans="1:30" ht="12.75">
      <c r="A60" s="5" t="s">
        <v>53</v>
      </c>
      <c r="B60" s="32">
        <f t="shared" si="42"/>
        <v>851.8546829999999</v>
      </c>
      <c r="C60" s="3">
        <f>('[1]Тов. продукция факт 2010'!$GW$14)/1000</f>
        <v>75.76728</v>
      </c>
      <c r="D60" s="3">
        <f>('[1]Тов. продукция факт 2010'!$GW$23)/1000</f>
        <v>43.22297800000001</v>
      </c>
      <c r="E60" s="3">
        <f>('[1]Тов. продукция факт 2010'!$GW$32)/1000</f>
        <v>283.90262299999995</v>
      </c>
      <c r="F60" s="3">
        <f>('[1]Тов. продукция факт 2010'!$GW$41)/1000</f>
        <v>448.9618019999999</v>
      </c>
      <c r="G60" s="32">
        <f t="shared" si="43"/>
        <v>138.252</v>
      </c>
      <c r="H60" s="3">
        <f>'[1]Тов. продукция факт 2010'!$GW$11</f>
        <v>18.523</v>
      </c>
      <c r="I60" s="3">
        <f>'[1]Тов. продукция факт 2010'!$GW$20</f>
        <v>4.07</v>
      </c>
      <c r="J60" s="3">
        <f>'[1]Тов. продукция факт 2010'!$GW$29</f>
        <v>45.029</v>
      </c>
      <c r="K60" s="3">
        <f>'[1]Тов. продукция факт 2010'!$GW$38</f>
        <v>70.63</v>
      </c>
      <c r="L60" s="30">
        <f t="shared" si="44"/>
        <v>39972.057818739995</v>
      </c>
      <c r="M60" s="30">
        <f t="shared" si="45"/>
        <v>1200.1537152</v>
      </c>
      <c r="N60" s="30">
        <f>D60*$B$7-O54</f>
        <v>937.6193253800002</v>
      </c>
      <c r="O60" s="30">
        <f t="shared" si="46"/>
        <v>8903.186257279998</v>
      </c>
      <c r="P60" s="30">
        <f t="shared" si="47"/>
        <v>28931.098520879994</v>
      </c>
      <c r="Q60" s="30">
        <f t="shared" si="48"/>
        <v>533091.13025748</v>
      </c>
      <c r="R60" s="30">
        <f t="shared" si="49"/>
        <v>27349.4169576</v>
      </c>
      <c r="S60" s="30">
        <f>I60*$C$7*12/1000</f>
        <v>8884.743740400001</v>
      </c>
      <c r="T60" s="30">
        <f>J60*$C$8*12/1000</f>
        <v>143757.15923748002</v>
      </c>
      <c r="U60" s="30">
        <f>K60*$C$9*12/1000</f>
        <v>353099.81032199995</v>
      </c>
      <c r="V60" s="30">
        <f t="shared" si="50"/>
        <v>573063.18807622</v>
      </c>
      <c r="W60" s="30">
        <f t="shared" si="51"/>
        <v>28549.5706728</v>
      </c>
      <c r="X60" s="30">
        <f t="shared" si="52"/>
        <v>9822.363065780002</v>
      </c>
      <c r="Y60" s="30">
        <f t="shared" si="53"/>
        <v>152660.34549476003</v>
      </c>
      <c r="Z60" s="30">
        <f t="shared" si="54"/>
        <v>382030.90884287993</v>
      </c>
      <c r="AA60" s="46">
        <f>V60-'[1]Тов. продукция факт 2010'!$GW$9</f>
        <v>0</v>
      </c>
      <c r="AB60" s="46">
        <f>L60-'[1]Тов. продукция факт 2010'!$GW$8</f>
        <v>0</v>
      </c>
      <c r="AC60" s="46">
        <f>Q60-'[1]Тов. продукция факт 2010'!$GW$7</f>
        <v>0</v>
      </c>
      <c r="AD60" s="55">
        <f>V60-'[5]Товарная продукция'!$K$9</f>
        <v>0</v>
      </c>
    </row>
    <row r="61" spans="1:30" ht="12.75">
      <c r="A61" s="5" t="s">
        <v>54</v>
      </c>
      <c r="B61" s="32">
        <f t="shared" si="42"/>
        <v>2934.964425</v>
      </c>
      <c r="C61" s="3">
        <f>('[1]Тов. продукция факт 2010'!$GR$14)/1000</f>
        <v>2802.401584</v>
      </c>
      <c r="D61" s="3">
        <f>('[1]Тов. продукция факт 2010'!$GR$23)/1000</f>
        <v>30.04681</v>
      </c>
      <c r="E61" s="3">
        <f>('[1]Тов. продукция факт 2010'!$GR$32)/1000</f>
        <v>88.475945</v>
      </c>
      <c r="F61" s="3">
        <f>('[1]Тов. продукция факт 2010'!$GR$41)/1000</f>
        <v>14.040085999999999</v>
      </c>
      <c r="G61" s="32">
        <f t="shared" si="43"/>
        <v>365.1863333333333</v>
      </c>
      <c r="H61" s="3">
        <f>'[5]Товарная продукция'!$F$11</f>
        <v>348.40833333333336</v>
      </c>
      <c r="I61" s="3">
        <f>'[5]Товарная продукция'!$F$20</f>
        <v>3.9906666666666673</v>
      </c>
      <c r="J61" s="3">
        <f>'[5]Товарная продукция'!$F$29</f>
        <v>10.093833333333334</v>
      </c>
      <c r="K61" s="3">
        <f>'[5]Товарная продукция'!$F$38</f>
        <v>2.6935000000000002</v>
      </c>
      <c r="L61" s="30">
        <f t="shared" si="44"/>
        <v>48717.2098797</v>
      </c>
      <c r="M61" s="30">
        <f t="shared" si="45"/>
        <v>44390.04109056</v>
      </c>
      <c r="N61" s="30">
        <f>D61*$B$7-25.529</f>
        <v>647.8200121</v>
      </c>
      <c r="O61" s="30">
        <f t="shared" si="46"/>
        <v>2774.6056351999996</v>
      </c>
      <c r="P61" s="30">
        <f t="shared" si="47"/>
        <v>904.7431418399999</v>
      </c>
      <c r="Q61" s="30">
        <f t="shared" si="48"/>
        <v>568830.9811484402</v>
      </c>
      <c r="R61" s="30">
        <f t="shared" si="49"/>
        <v>514428.80634000007</v>
      </c>
      <c r="S61" s="30">
        <f>I61*$C$7*12/1000</f>
        <v>8711.56036528</v>
      </c>
      <c r="T61" s="30">
        <f>J61*$C$8*12/1000</f>
        <v>32225.02844426001</v>
      </c>
      <c r="U61" s="30">
        <f>K61*$C$9*12/1000</f>
        <v>13465.585998900002</v>
      </c>
      <c r="V61" s="30">
        <f t="shared" si="50"/>
        <v>617548.19102814</v>
      </c>
      <c r="W61" s="30">
        <f t="shared" si="51"/>
        <v>558818.84743056</v>
      </c>
      <c r="X61" s="30">
        <f t="shared" si="52"/>
        <v>9359.38037738</v>
      </c>
      <c r="Y61" s="30">
        <f t="shared" si="53"/>
        <v>34999.63407946001</v>
      </c>
      <c r="Z61" s="30">
        <f t="shared" si="54"/>
        <v>14370.329140740001</v>
      </c>
      <c r="AA61" s="46">
        <f>V61-'[1]Тов. продукция факт 2010'!$GR$9</f>
        <v>0.00014081993140280247</v>
      </c>
      <c r="AB61" s="46">
        <f>L61-'[1]Тов. продукция факт 2010'!$GR$8</f>
        <v>-52658.72383889999</v>
      </c>
      <c r="AC61" s="46">
        <f>Q61-'[1]Тов. продукция факт 2010'!$GR$7</f>
        <v>51685.72397972009</v>
      </c>
      <c r="AD61" s="55">
        <f>ROUND(V61-'[5]Товарная продукция'!$F$9,3)</f>
        <v>0.02</v>
      </c>
    </row>
    <row r="62" spans="1:30" ht="12.75">
      <c r="A62" s="5" t="s">
        <v>26</v>
      </c>
      <c r="B62" s="32">
        <f t="shared" si="42"/>
        <v>17329.929560999997</v>
      </c>
      <c r="C62" s="3">
        <f>('[1]Тов. продукция факт 2010'!$GP$14)/1000</f>
        <v>17329.929560999997</v>
      </c>
      <c r="D62" s="3">
        <f>('[1]Тов. продукция факт 2010'!$GP$23)/1000</f>
        <v>0</v>
      </c>
      <c r="E62" s="3">
        <f>('[1]Тов. продукция факт 2010'!$GP$32)/1000</f>
        <v>0</v>
      </c>
      <c r="F62" s="3">
        <f>('[1]Тов. продукция факт 2010'!$GP$41)/1000</f>
        <v>0</v>
      </c>
      <c r="G62" s="32">
        <f t="shared" si="43"/>
        <v>1973.75</v>
      </c>
      <c r="H62" s="3">
        <f>'[1]Тов. продукция факт 2010'!$GP$11</f>
        <v>1973.75</v>
      </c>
      <c r="I62" s="3">
        <f>'[1]Тов. продукция факт 2010'!$GP$20</f>
        <v>0</v>
      </c>
      <c r="J62" s="3">
        <f>'[1]Тов. продукция факт 2010'!$GP$29</f>
        <v>0</v>
      </c>
      <c r="K62" s="3">
        <f>'[1]Тов. продукция факт 2010'!$GP$38</f>
        <v>0</v>
      </c>
      <c r="L62" s="30">
        <f t="shared" si="44"/>
        <v>274506.08424624</v>
      </c>
      <c r="M62" s="30">
        <f t="shared" si="45"/>
        <v>274506.08424624</v>
      </c>
      <c r="N62" s="30">
        <f>D62*$B$7</f>
        <v>0</v>
      </c>
      <c r="O62" s="30">
        <f t="shared" si="46"/>
        <v>0</v>
      </c>
      <c r="P62" s="30">
        <f t="shared" si="47"/>
        <v>0</v>
      </c>
      <c r="Q62" s="30">
        <f t="shared" si="48"/>
        <v>2914263.981</v>
      </c>
      <c r="R62" s="30">
        <f t="shared" si="49"/>
        <v>2914263.981</v>
      </c>
      <c r="S62" s="30">
        <f>I62*$C$7*12/1000</f>
        <v>0</v>
      </c>
      <c r="T62" s="30">
        <f>J62*$C$8*12/1000</f>
        <v>0</v>
      </c>
      <c r="U62" s="30">
        <f>K62*$C$9*12/1000</f>
        <v>0</v>
      </c>
      <c r="V62" s="30">
        <f t="shared" si="50"/>
        <v>3188770.0652462402</v>
      </c>
      <c r="W62" s="30">
        <f t="shared" si="51"/>
        <v>3188770.0652462402</v>
      </c>
      <c r="X62" s="30">
        <f t="shared" si="52"/>
        <v>0</v>
      </c>
      <c r="Y62" s="30">
        <f t="shared" si="53"/>
        <v>0</v>
      </c>
      <c r="Z62" s="30">
        <f t="shared" si="54"/>
        <v>0</v>
      </c>
      <c r="AA62" s="46">
        <f>V62-'[1]Тов. продукция факт 2010'!$GP$9</f>
        <v>0</v>
      </c>
      <c r="AB62" s="46">
        <f>L62-'[1]Тов. продукция факт 2010'!$GP$8</f>
        <v>0</v>
      </c>
      <c r="AC62" s="46">
        <f>Q62-'[1]Тов. продукция факт 2010'!$GP$7</f>
        <v>0</v>
      </c>
      <c r="AD62" s="55">
        <f>V62-'[5]Товарная продукция'!$D$9</f>
        <v>0</v>
      </c>
    </row>
    <row r="63" spans="1:30" ht="12.75">
      <c r="A63" s="5" t="s">
        <v>27</v>
      </c>
      <c r="B63" s="32">
        <f t="shared" si="42"/>
        <v>6861.982136</v>
      </c>
      <c r="C63" s="3">
        <f>('[1]Тов. продукция факт 2010'!$GQ$14)/1000</f>
        <v>6861.982136</v>
      </c>
      <c r="D63" s="3">
        <f>('[1]Тов. продукция факт 2010'!$GQ$23)/1000</f>
        <v>0</v>
      </c>
      <c r="E63" s="3">
        <f>('[1]Тов. продукция факт 2010'!$GQ$32)/1000</f>
        <v>0</v>
      </c>
      <c r="F63" s="3">
        <f>('[1]Тов. продукция факт 2010'!$GQ$41)/1000</f>
        <v>0</v>
      </c>
      <c r="G63" s="32">
        <f t="shared" si="43"/>
        <v>802.2916666666666</v>
      </c>
      <c r="H63" s="3">
        <f>'[1]Тов. продукция факт 2010'!$GQ$11</f>
        <v>802.2916666666666</v>
      </c>
      <c r="I63" s="3">
        <f>'[1]Тов. продукция факт 2010'!$GQ$20</f>
        <v>0</v>
      </c>
      <c r="J63" s="3">
        <f>'[1]Тов. продукция факт 2010'!$GQ$29</f>
        <v>0</v>
      </c>
      <c r="K63" s="3">
        <f>'[1]Тов. продукция факт 2010'!$GQ$38</f>
        <v>0</v>
      </c>
      <c r="L63" s="30">
        <f t="shared" si="44"/>
        <v>108693.79703424</v>
      </c>
      <c r="M63" s="30">
        <f t="shared" si="45"/>
        <v>108693.79703424</v>
      </c>
      <c r="N63" s="30">
        <f>D63*$B$7</f>
        <v>0</v>
      </c>
      <c r="O63" s="30">
        <f t="shared" si="46"/>
        <v>0</v>
      </c>
      <c r="P63" s="30">
        <f t="shared" si="47"/>
        <v>0</v>
      </c>
      <c r="Q63" s="30">
        <f t="shared" si="48"/>
        <v>1184592.6315</v>
      </c>
      <c r="R63" s="30">
        <f t="shared" si="49"/>
        <v>1184592.6315</v>
      </c>
      <c r="S63" s="30">
        <f>I63*$C$7*12/1000</f>
        <v>0</v>
      </c>
      <c r="T63" s="30">
        <f>J63*$C$8*12/1000</f>
        <v>0</v>
      </c>
      <c r="U63" s="30">
        <f>K63*$C$9*12/1000</f>
        <v>0</v>
      </c>
      <c r="V63" s="30">
        <f t="shared" si="50"/>
        <v>1293286.42853424</v>
      </c>
      <c r="W63" s="30">
        <f t="shared" si="51"/>
        <v>1293286.42853424</v>
      </c>
      <c r="X63" s="30">
        <f t="shared" si="52"/>
        <v>0</v>
      </c>
      <c r="Y63" s="30">
        <f t="shared" si="53"/>
        <v>0</v>
      </c>
      <c r="Z63" s="30">
        <f t="shared" si="54"/>
        <v>0</v>
      </c>
      <c r="AA63" s="46">
        <f>V63-'[1]Тов. продукция факт 2010'!$GQ$9</f>
        <v>0</v>
      </c>
      <c r="AB63" s="46">
        <f>L63-'[1]Тов. продукция факт 2010'!$GQ$8</f>
        <v>0</v>
      </c>
      <c r="AC63" s="46">
        <f>Q63-'[1]Тов. продукция факт 2010'!$GQ$7</f>
        <v>0</v>
      </c>
      <c r="AD63" s="55">
        <f>V63-'[5]Товарная продукция'!$E$9</f>
        <v>0</v>
      </c>
    </row>
    <row r="64" spans="1:30" ht="12.75">
      <c r="A64" s="6" t="s">
        <v>28</v>
      </c>
      <c r="B64" s="32">
        <f t="shared" si="42"/>
        <v>40.19906499999999</v>
      </c>
      <c r="C64" s="3">
        <f>('[1]Тов. продукция факт 2010'!$GT$14)/1000</f>
        <v>0</v>
      </c>
      <c r="D64" s="3">
        <f>('[1]Тов. продукция факт 2010'!$GT$23)/1000</f>
        <v>0</v>
      </c>
      <c r="E64" s="3">
        <f>('[1]Тов. продукция факт 2010'!$GT$32)/1000</f>
        <v>40.19906499999999</v>
      </c>
      <c r="F64" s="3">
        <f>('[1]Тов. продукция факт 2010'!$GT$41)/1000</f>
        <v>0</v>
      </c>
      <c r="G64" s="32">
        <f t="shared" si="43"/>
        <v>6.597666666666666</v>
      </c>
      <c r="H64" s="3">
        <f>'[1]Тов. продукция факт 2010'!$GT$11</f>
        <v>0</v>
      </c>
      <c r="I64" s="3">
        <f>'[1]Тов. продукция факт 2010'!$GT$20</f>
        <v>0</v>
      </c>
      <c r="J64" s="3">
        <f>'[1]Тов. продукция факт 2010'!$GT$29</f>
        <v>6.597666666666666</v>
      </c>
      <c r="K64" s="3">
        <f>'[1]Тов. продукция факт 2010'!$GT$38</f>
        <v>0</v>
      </c>
      <c r="L64" s="30">
        <f t="shared" si="44"/>
        <v>1260.6426783999996</v>
      </c>
      <c r="M64" s="30">
        <f t="shared" si="45"/>
        <v>0</v>
      </c>
      <c r="N64" s="30">
        <f>D64*$B$7</f>
        <v>0</v>
      </c>
      <c r="O64" s="30">
        <f t="shared" si="46"/>
        <v>1260.6426783999996</v>
      </c>
      <c r="P64" s="30">
        <f t="shared" si="47"/>
        <v>0</v>
      </c>
      <c r="Q64" s="30">
        <f t="shared" si="48"/>
        <v>21063.35511772</v>
      </c>
      <c r="R64" s="30">
        <f t="shared" si="49"/>
        <v>0</v>
      </c>
      <c r="S64" s="30">
        <f>I64*$C$7*12/1000</f>
        <v>0</v>
      </c>
      <c r="T64" s="30">
        <f>J64*$C$8*12/1000</f>
        <v>21063.35511772</v>
      </c>
      <c r="U64" s="30">
        <f>K64*$C$9*12/1000</f>
        <v>0</v>
      </c>
      <c r="V64" s="30">
        <f t="shared" si="50"/>
        <v>22323.99779612</v>
      </c>
      <c r="W64" s="30">
        <f t="shared" si="51"/>
        <v>0</v>
      </c>
      <c r="X64" s="30">
        <f t="shared" si="52"/>
        <v>0</v>
      </c>
      <c r="Y64" s="30">
        <f t="shared" si="53"/>
        <v>22323.99779612</v>
      </c>
      <c r="Z64" s="30">
        <f t="shared" si="54"/>
        <v>0</v>
      </c>
      <c r="AA64" s="46">
        <f>V64-'[1]Тов. продукция факт 2010'!$GT$9</f>
        <v>0</v>
      </c>
      <c r="AB64" s="46">
        <f>L64-'[1]Тов. продукция факт 2010'!$GT$8</f>
        <v>0</v>
      </c>
      <c r="AC64" s="46">
        <f>Q64-'[1]Тов. продукция факт 2010'!$GT$7</f>
        <v>0</v>
      </c>
      <c r="AD64" s="55">
        <f>V64-'[5]Товарная продукция'!$H$9</f>
        <v>0</v>
      </c>
    </row>
    <row r="65" spans="1:30" ht="12.75">
      <c r="A65" s="49" t="s">
        <v>58</v>
      </c>
      <c r="B65" s="32">
        <f t="shared" si="42"/>
        <v>231.92287732</v>
      </c>
      <c r="C65" s="3">
        <f>('[1]Тов. продукция факт 2010'!$GY$14)/1000</f>
        <v>88.05080812</v>
      </c>
      <c r="D65" s="3">
        <f>('[1]Тов. продукция факт 2010'!$GY$23)/1000</f>
        <v>108.2511599</v>
      </c>
      <c r="E65" s="3">
        <f>('[1]Тов. продукция факт 2010'!$GY$32)/1000</f>
        <v>19.606553199999997</v>
      </c>
      <c r="F65" s="3">
        <f>('[1]Тов. продукция факт 2010'!$GY$41)/1000</f>
        <v>16.0143561</v>
      </c>
      <c r="G65" s="32">
        <f t="shared" si="43"/>
        <v>44.876000000000005</v>
      </c>
      <c r="H65" s="3">
        <f>'[1]Тов. продукция факт 2010'!$GY$11</f>
        <v>14.662</v>
      </c>
      <c r="I65" s="3">
        <f>'[1]Тов. продукция факт 2010'!$GY$20</f>
        <v>20.945833333333336</v>
      </c>
      <c r="J65" s="3">
        <f>'[1]Тов. продукция факт 2010'!$GY$29</f>
        <v>4.2413333333333325</v>
      </c>
      <c r="K65" s="3">
        <f>'[1]Тов. продукция факт 2010'!$GY$38</f>
        <v>5.026833333333333</v>
      </c>
      <c r="L65" s="30">
        <f t="shared" si="44"/>
        <v>5467.4599094158</v>
      </c>
      <c r="M65" s="30">
        <f t="shared" si="45"/>
        <v>1394.7248006208</v>
      </c>
      <c r="N65" s="30">
        <f>D65*$B$7</f>
        <v>2425.908493359</v>
      </c>
      <c r="O65" s="30">
        <f t="shared" si="46"/>
        <v>614.8615083519999</v>
      </c>
      <c r="P65" s="30">
        <f t="shared" si="47"/>
        <v>1031.965107084</v>
      </c>
      <c r="Q65" s="30">
        <f t="shared" si="48"/>
        <v>53022.13362938</v>
      </c>
      <c r="R65" s="30">
        <f>H65*$C$6*12/1000/2</f>
        <v>10824.3036072</v>
      </c>
      <c r="S65" s="30">
        <f>I65*$C$7*12/1000/2</f>
        <v>22862.20658425</v>
      </c>
      <c r="T65" s="30">
        <f>J65*$C$8*12/1000/2</f>
        <v>6770.326138479998</v>
      </c>
      <c r="U65" s="30">
        <f>K65*$C$9*12/1000/2</f>
        <v>12565.29729945</v>
      </c>
      <c r="V65" s="30">
        <f t="shared" si="50"/>
        <v>58489.593538795794</v>
      </c>
      <c r="W65" s="30">
        <f t="shared" si="51"/>
        <v>12219.028407820799</v>
      </c>
      <c r="X65" s="30">
        <f>N65+S65</f>
        <v>25288.115077609</v>
      </c>
      <c r="Y65" s="30">
        <f>O65+T65</f>
        <v>7385.187646831998</v>
      </c>
      <c r="Z65" s="30">
        <f>P65+U65</f>
        <v>13597.262406533999</v>
      </c>
      <c r="AA65" s="46">
        <f>V65-'[1]Тов. продукция факт 2010'!$GY$9</f>
        <v>0</v>
      </c>
      <c r="AB65" s="46">
        <f>L65-'[1]Тов. продукция факт 2010'!$GY$8</f>
        <v>0</v>
      </c>
      <c r="AC65" s="46">
        <f>Q65-'[1]Тов. продукция факт 2010'!$GY$7</f>
        <v>0</v>
      </c>
      <c r="AD65" s="55">
        <f>V65-'[5]Товарная продукция'!$M$9</f>
        <v>0</v>
      </c>
    </row>
    <row r="66" spans="1:29" ht="12.75">
      <c r="A66" s="4" t="s">
        <v>29</v>
      </c>
      <c r="B66" s="33">
        <f>SUM(B59:B65)</f>
        <v>40727.49125332</v>
      </c>
      <c r="C66" s="32">
        <f aca="true" t="shared" si="55" ref="C66:Z66">SUM(C59:C65)</f>
        <v>31693.388783119994</v>
      </c>
      <c r="D66" s="32">
        <f t="shared" si="55"/>
        <v>1493.4712098999998</v>
      </c>
      <c r="E66" s="32">
        <f t="shared" si="55"/>
        <v>5274.775367200001</v>
      </c>
      <c r="F66" s="32">
        <f t="shared" si="55"/>
        <v>2265.8558931</v>
      </c>
      <c r="G66" s="33">
        <f t="shared" si="55"/>
        <v>5013.2615000000005</v>
      </c>
      <c r="H66" s="32">
        <f t="shared" si="55"/>
        <v>3624.544</v>
      </c>
      <c r="I66" s="32">
        <f t="shared" si="55"/>
        <v>301.03499999999997</v>
      </c>
      <c r="J66" s="32">
        <f t="shared" si="55"/>
        <v>721.0016666666667</v>
      </c>
      <c r="K66" s="32">
        <f t="shared" si="55"/>
        <v>366.68083333333334</v>
      </c>
      <c r="L66" s="31">
        <f t="shared" si="55"/>
        <v>845717.3855140358</v>
      </c>
      <c r="M66" s="30">
        <f t="shared" si="55"/>
        <v>502023.27832462074</v>
      </c>
      <c r="N66" s="30">
        <f t="shared" si="55"/>
        <v>32265.397922659</v>
      </c>
      <c r="O66" s="30">
        <f t="shared" si="55"/>
        <v>165416.95551539204</v>
      </c>
      <c r="P66" s="30">
        <f t="shared" si="55"/>
        <v>146011.75375136398</v>
      </c>
      <c r="Q66" s="31">
        <f t="shared" si="55"/>
        <v>10086176.10900713</v>
      </c>
      <c r="R66" s="30">
        <f t="shared" si="55"/>
        <v>5340855.5072856005</v>
      </c>
      <c r="S66" s="30">
        <f t="shared" si="55"/>
        <v>634148.7663863599</v>
      </c>
      <c r="T66" s="30">
        <f t="shared" si="55"/>
        <v>2294269.25689947</v>
      </c>
      <c r="U66" s="30">
        <f t="shared" si="55"/>
        <v>1816902.5784357</v>
      </c>
      <c r="V66" s="31">
        <f t="shared" si="55"/>
        <v>10931893.494521167</v>
      </c>
      <c r="W66" s="30">
        <f t="shared" si="55"/>
        <v>5842878.78561022</v>
      </c>
      <c r="X66" s="30">
        <f t="shared" si="55"/>
        <v>666414.1643090189</v>
      </c>
      <c r="Y66" s="30">
        <f t="shared" si="55"/>
        <v>2459686.212414862</v>
      </c>
      <c r="Z66" s="30">
        <f t="shared" si="55"/>
        <v>1962914.332187064</v>
      </c>
      <c r="AA66" s="48">
        <f>SUM(AA59:AA65)</f>
        <v>-0.004859180829953402</v>
      </c>
      <c r="AB66" s="48">
        <f>SUM(AB59:AB65)</f>
        <v>-52658.72383889999</v>
      </c>
      <c r="AC66" s="48">
        <f>SUM(AC59:AC65)</f>
        <v>51685.71897971976</v>
      </c>
    </row>
    <row r="67" spans="1:27" ht="12.75">
      <c r="A67" s="103" t="s">
        <v>32</v>
      </c>
      <c r="B67" s="101" t="s">
        <v>30</v>
      </c>
      <c r="C67" s="101"/>
      <c r="D67" s="101"/>
      <c r="E67" s="101"/>
      <c r="F67" s="101"/>
      <c r="G67" s="101" t="s">
        <v>31</v>
      </c>
      <c r="H67" s="101"/>
      <c r="I67" s="101"/>
      <c r="J67" s="101"/>
      <c r="K67" s="101"/>
      <c r="L67" s="101" t="s">
        <v>41</v>
      </c>
      <c r="M67" s="101"/>
      <c r="N67" s="101"/>
      <c r="O67" s="101"/>
      <c r="P67" s="101"/>
      <c r="Q67" s="101" t="s">
        <v>42</v>
      </c>
      <c r="R67" s="101"/>
      <c r="S67" s="101"/>
      <c r="T67" s="101"/>
      <c r="U67" s="101"/>
      <c r="V67" s="101" t="s">
        <v>43</v>
      </c>
      <c r="W67" s="101"/>
      <c r="X67" s="101"/>
      <c r="Y67" s="101"/>
      <c r="Z67" s="101"/>
      <c r="AA67" s="28"/>
    </row>
    <row r="68" spans="1:27" ht="12.75">
      <c r="A68" s="103"/>
      <c r="B68" s="101" t="s">
        <v>17</v>
      </c>
      <c r="C68" s="101" t="s">
        <v>18</v>
      </c>
      <c r="D68" s="101"/>
      <c r="E68" s="101"/>
      <c r="F68" s="101"/>
      <c r="G68" s="101" t="s">
        <v>17</v>
      </c>
      <c r="H68" s="101" t="s">
        <v>18</v>
      </c>
      <c r="I68" s="101"/>
      <c r="J68" s="101"/>
      <c r="K68" s="101"/>
      <c r="L68" s="101" t="s">
        <v>17</v>
      </c>
      <c r="M68" s="101" t="s">
        <v>18</v>
      </c>
      <c r="N68" s="101"/>
      <c r="O68" s="101"/>
      <c r="P68" s="101"/>
      <c r="Q68" s="101" t="s">
        <v>17</v>
      </c>
      <c r="R68" s="101" t="s">
        <v>18</v>
      </c>
      <c r="S68" s="101"/>
      <c r="T68" s="101"/>
      <c r="U68" s="101"/>
      <c r="V68" s="101" t="s">
        <v>17</v>
      </c>
      <c r="W68" s="101" t="s">
        <v>18</v>
      </c>
      <c r="X68" s="101"/>
      <c r="Y68" s="101"/>
      <c r="Z68" s="101"/>
      <c r="AA68" s="28"/>
    </row>
    <row r="69" spans="1:27" ht="12.75">
      <c r="A69" s="103"/>
      <c r="B69" s="101"/>
      <c r="C69" s="2" t="s">
        <v>19</v>
      </c>
      <c r="D69" s="2" t="s">
        <v>20</v>
      </c>
      <c r="E69" s="2" t="s">
        <v>21</v>
      </c>
      <c r="F69" s="2" t="s">
        <v>22</v>
      </c>
      <c r="G69" s="101"/>
      <c r="H69" s="2" t="s">
        <v>19</v>
      </c>
      <c r="I69" s="2" t="s">
        <v>20</v>
      </c>
      <c r="J69" s="2" t="s">
        <v>21</v>
      </c>
      <c r="K69" s="2" t="s">
        <v>22</v>
      </c>
      <c r="L69" s="101"/>
      <c r="M69" s="2" t="s">
        <v>19</v>
      </c>
      <c r="N69" s="2" t="s">
        <v>20</v>
      </c>
      <c r="O69" s="2" t="s">
        <v>21</v>
      </c>
      <c r="P69" s="2" t="s">
        <v>22</v>
      </c>
      <c r="Q69" s="101"/>
      <c r="R69" s="2" t="s">
        <v>19</v>
      </c>
      <c r="S69" s="2" t="s">
        <v>20</v>
      </c>
      <c r="T69" s="2" t="s">
        <v>21</v>
      </c>
      <c r="U69" s="2" t="s">
        <v>22</v>
      </c>
      <c r="V69" s="101"/>
      <c r="W69" s="2" t="s">
        <v>19</v>
      </c>
      <c r="X69" s="2" t="s">
        <v>20</v>
      </c>
      <c r="Y69" s="2" t="s">
        <v>21</v>
      </c>
      <c r="Z69" s="2" t="s">
        <v>22</v>
      </c>
      <c r="AA69" s="28"/>
    </row>
    <row r="70" spans="1:27" ht="12.75">
      <c r="A70" s="5" t="s">
        <v>61</v>
      </c>
      <c r="B70" s="32">
        <f aca="true" t="shared" si="56" ref="B70:B76">SUM(C70:F70)</f>
        <v>4862.90977</v>
      </c>
      <c r="C70" s="3">
        <f>('[1]Тов. продукция факт 2010'!$GV$14+'[1]Тов. продукция факт 2010'!$HB$14)/1000</f>
        <v>28.802592000000004</v>
      </c>
      <c r="D70" s="3">
        <f>('[1]Тов. продукция факт 2010'!$GV$23+'[1]Тов. продукция факт 2010'!$HB$23)/1000</f>
        <v>50.87938200000001</v>
      </c>
      <c r="E70" s="3">
        <f>('[1]Тов. продукция факт 2010'!$GV$32+'[1]Тов. продукция факт 2010'!$HB$32)/1000</f>
        <v>989.2770070000003</v>
      </c>
      <c r="F70" s="3">
        <f>('[1]Тов. продукция факт 2010'!$GV$41+'[1]Тов. продукция факт 2010'!$HB$41)/1000</f>
        <v>3793.950789</v>
      </c>
      <c r="G70" s="32">
        <f aca="true" t="shared" si="57" ref="G70:G76">SUM(H70:K70)</f>
        <v>0</v>
      </c>
      <c r="H70" s="3">
        <f>'[1]Тов. продукция факт 2010'!$GV$11+'[1]Тов. продукция факт 2010'!$HB$11</f>
        <v>0</v>
      </c>
      <c r="I70" s="3">
        <f>'[1]Тов. продукция факт 2010'!$GV$20+'[1]Тов. продукция факт 2010'!$HB$20</f>
        <v>0</v>
      </c>
      <c r="J70" s="3">
        <f>'[1]Тов. продукция факт 2010'!$GV$29+'[1]Тов. продукция факт 2010'!$HB$29</f>
        <v>0</v>
      </c>
      <c r="K70" s="3">
        <f>'[1]Тов. продукция факт 2010'!$GV$38+'[1]Тов. продукция факт 2010'!$HB$38</f>
        <v>0</v>
      </c>
      <c r="L70" s="30">
        <f aca="true" t="shared" si="58" ref="L70:L75">SUM(M70:P70)</f>
        <v>983231.7263963001</v>
      </c>
      <c r="M70" s="30">
        <f aca="true" t="shared" si="59" ref="M70:M76">C70*$E$6</f>
        <v>5823.596076480001</v>
      </c>
      <c r="N70" s="30">
        <f aca="true" t="shared" si="60" ref="N70:N75">D70*$E$6</f>
        <v>10287.30224658</v>
      </c>
      <c r="O70" s="30">
        <f aca="true" t="shared" si="61" ref="O70:O75">E70*$E$6</f>
        <v>200021.91804533004</v>
      </c>
      <c r="P70" s="30">
        <f aca="true" t="shared" si="62" ref="P70:P75">F70*$E$6</f>
        <v>767098.91002791</v>
      </c>
      <c r="Q70" s="30">
        <f aca="true" t="shared" si="63" ref="Q70:Q75">SUM(R70:U70)</f>
        <v>0</v>
      </c>
      <c r="R70" s="30"/>
      <c r="S70" s="30"/>
      <c r="T70" s="30"/>
      <c r="U70" s="30"/>
      <c r="V70" s="30">
        <f aca="true" t="shared" si="64" ref="V70:V75">SUM(W70:Z70)</f>
        <v>983231.7263963001</v>
      </c>
      <c r="W70" s="30">
        <f aca="true" t="shared" si="65" ref="W70:W76">M70+R70</f>
        <v>5823.596076480001</v>
      </c>
      <c r="X70" s="30">
        <f aca="true" t="shared" si="66" ref="X70:X75">N70+S70</f>
        <v>10287.30224658</v>
      </c>
      <c r="Y70" s="30">
        <f aca="true" t="shared" si="67" ref="Y70:Y75">O70+T70</f>
        <v>200021.91804533004</v>
      </c>
      <c r="Z70" s="30">
        <f aca="true" t="shared" si="68" ref="Z70:Z75">P70+U70</f>
        <v>767098.91002791</v>
      </c>
      <c r="AA70" s="54">
        <f>ROUND(V70-'[1]Тов. продукция факт 2010'!$GV$9-'[1]Тов. продукция факт 2010'!$HB$9,3)</f>
        <v>0</v>
      </c>
    </row>
    <row r="71" spans="1:27" ht="12.75">
      <c r="A71" s="5" t="s">
        <v>53</v>
      </c>
      <c r="B71" s="32">
        <f t="shared" si="56"/>
        <v>648.087026</v>
      </c>
      <c r="C71" s="3">
        <f>('[1]Тов. продукция факт 2010'!$GX$14)/1000</f>
        <v>0</v>
      </c>
      <c r="D71" s="3">
        <f>('[1]Тов. продукция факт 2010'!$GX$23)/1000</f>
        <v>0</v>
      </c>
      <c r="E71" s="3">
        <f>('[1]Тов. продукция факт 2010'!$GX$32)/1000</f>
        <v>37.208771999999996</v>
      </c>
      <c r="F71" s="3">
        <f>('[1]Тов. продукция факт 2010'!$GX$41)/1000</f>
        <v>610.8782540000001</v>
      </c>
      <c r="G71" s="32">
        <f t="shared" si="57"/>
        <v>0</v>
      </c>
      <c r="H71" s="3"/>
      <c r="I71" s="3"/>
      <c r="J71" s="3"/>
      <c r="K71" s="3"/>
      <c r="L71" s="30">
        <f t="shared" si="58"/>
        <v>131036.71578694001</v>
      </c>
      <c r="M71" s="30">
        <f t="shared" si="59"/>
        <v>0</v>
      </c>
      <c r="N71" s="30">
        <f t="shared" si="60"/>
        <v>0</v>
      </c>
      <c r="O71" s="30">
        <f t="shared" si="61"/>
        <v>7523.241610679999</v>
      </c>
      <c r="P71" s="30">
        <f t="shared" si="62"/>
        <v>123513.47417626002</v>
      </c>
      <c r="Q71" s="30">
        <f t="shared" si="63"/>
        <v>0</v>
      </c>
      <c r="R71" s="30"/>
      <c r="S71" s="30"/>
      <c r="T71" s="30"/>
      <c r="U71" s="30"/>
      <c r="V71" s="30">
        <f t="shared" si="64"/>
        <v>131036.71578694001</v>
      </c>
      <c r="W71" s="30">
        <f t="shared" si="65"/>
        <v>0</v>
      </c>
      <c r="X71" s="30">
        <f t="shared" si="66"/>
        <v>0</v>
      </c>
      <c r="Y71" s="30">
        <f t="shared" si="67"/>
        <v>7523.241610679999</v>
      </c>
      <c r="Z71" s="30">
        <f t="shared" si="68"/>
        <v>123513.47417626002</v>
      </c>
      <c r="AA71" s="46">
        <f>V71-'[1]Тов. продукция факт 2010'!$GX$9</f>
        <v>0</v>
      </c>
    </row>
    <row r="72" spans="1:27" ht="12.75">
      <c r="A72" s="5" t="s">
        <v>54</v>
      </c>
      <c r="B72" s="32">
        <f t="shared" si="56"/>
        <v>79.475405</v>
      </c>
      <c r="C72" s="3">
        <f>('[1]Тов. продукция факт 2010'!$GS$14)/1000</f>
        <v>0</v>
      </c>
      <c r="D72" s="3">
        <f>('[1]Тов. продукция факт 2010'!$GS$23)/1000</f>
        <v>0</v>
      </c>
      <c r="E72" s="3">
        <f>('[1]Тов. продукция факт 2010'!$GS$32)/1000</f>
        <v>0</v>
      </c>
      <c r="F72" s="3">
        <f>('[1]Тов. продукция факт 2010'!$GS$41)/1000</f>
        <v>79.475405</v>
      </c>
      <c r="G72" s="32">
        <f t="shared" si="57"/>
        <v>0</v>
      </c>
      <c r="H72" s="3"/>
      <c r="I72" s="3"/>
      <c r="J72" s="3"/>
      <c r="K72" s="3"/>
      <c r="L72" s="30">
        <f t="shared" si="58"/>
        <v>16069.132136949998</v>
      </c>
      <c r="M72" s="30">
        <f t="shared" si="59"/>
        <v>0</v>
      </c>
      <c r="N72" s="30">
        <f t="shared" si="60"/>
        <v>0</v>
      </c>
      <c r="O72" s="30">
        <f t="shared" si="61"/>
        <v>0</v>
      </c>
      <c r="P72" s="30">
        <f t="shared" si="62"/>
        <v>16069.132136949998</v>
      </c>
      <c r="Q72" s="30">
        <f t="shared" si="63"/>
        <v>0</v>
      </c>
      <c r="R72" s="30"/>
      <c r="S72" s="30"/>
      <c r="T72" s="30"/>
      <c r="U72" s="30"/>
      <c r="V72" s="30">
        <f t="shared" si="64"/>
        <v>16069.132136949998</v>
      </c>
      <c r="W72" s="30">
        <f t="shared" si="65"/>
        <v>0</v>
      </c>
      <c r="X72" s="30">
        <f t="shared" si="66"/>
        <v>0</v>
      </c>
      <c r="Y72" s="30">
        <f t="shared" si="67"/>
        <v>0</v>
      </c>
      <c r="Z72" s="30">
        <f t="shared" si="68"/>
        <v>16069.132136949998</v>
      </c>
      <c r="AA72" s="46">
        <f>V72-'[1]Тов. продукция факт 2010'!$GS$9</f>
        <v>0</v>
      </c>
    </row>
    <row r="73" spans="1:27" ht="12.75">
      <c r="A73" s="5" t="s">
        <v>26</v>
      </c>
      <c r="B73" s="32">
        <f t="shared" si="56"/>
        <v>0</v>
      </c>
      <c r="C73" s="3"/>
      <c r="D73" s="3"/>
      <c r="E73" s="3"/>
      <c r="F73" s="3"/>
      <c r="G73" s="32">
        <f t="shared" si="57"/>
        <v>0</v>
      </c>
      <c r="H73" s="3"/>
      <c r="I73" s="3"/>
      <c r="J73" s="3"/>
      <c r="K73" s="3"/>
      <c r="L73" s="30">
        <f t="shared" si="58"/>
        <v>0</v>
      </c>
      <c r="M73" s="30">
        <f t="shared" si="59"/>
        <v>0</v>
      </c>
      <c r="N73" s="30">
        <f t="shared" si="60"/>
        <v>0</v>
      </c>
      <c r="O73" s="30">
        <f t="shared" si="61"/>
        <v>0</v>
      </c>
      <c r="P73" s="30">
        <f t="shared" si="62"/>
        <v>0</v>
      </c>
      <c r="Q73" s="30">
        <f t="shared" si="63"/>
        <v>0</v>
      </c>
      <c r="R73" s="30"/>
      <c r="S73" s="30"/>
      <c r="T73" s="30"/>
      <c r="U73" s="30"/>
      <c r="V73" s="30">
        <f t="shared" si="64"/>
        <v>0</v>
      </c>
      <c r="W73" s="30">
        <f t="shared" si="65"/>
        <v>0</v>
      </c>
      <c r="X73" s="30">
        <f t="shared" si="66"/>
        <v>0</v>
      </c>
      <c r="Y73" s="30">
        <f t="shared" si="67"/>
        <v>0</v>
      </c>
      <c r="Z73" s="30">
        <f t="shared" si="68"/>
        <v>0</v>
      </c>
      <c r="AA73" s="28"/>
    </row>
    <row r="74" spans="1:27" ht="12.75">
      <c r="A74" s="5" t="s">
        <v>27</v>
      </c>
      <c r="B74" s="32">
        <f t="shared" si="56"/>
        <v>0</v>
      </c>
      <c r="C74" s="3"/>
      <c r="D74" s="3"/>
      <c r="E74" s="3"/>
      <c r="F74" s="3"/>
      <c r="G74" s="32">
        <f t="shared" si="57"/>
        <v>0</v>
      </c>
      <c r="H74" s="3"/>
      <c r="I74" s="3"/>
      <c r="J74" s="3"/>
      <c r="K74" s="3"/>
      <c r="L74" s="30">
        <f t="shared" si="58"/>
        <v>0</v>
      </c>
      <c r="M74" s="30">
        <f t="shared" si="59"/>
        <v>0</v>
      </c>
      <c r="N74" s="30">
        <f t="shared" si="60"/>
        <v>0</v>
      </c>
      <c r="O74" s="30">
        <f t="shared" si="61"/>
        <v>0</v>
      </c>
      <c r="P74" s="30">
        <f t="shared" si="62"/>
        <v>0</v>
      </c>
      <c r="Q74" s="30">
        <f t="shared" si="63"/>
        <v>0</v>
      </c>
      <c r="R74" s="30"/>
      <c r="S74" s="30"/>
      <c r="T74" s="30"/>
      <c r="U74" s="30"/>
      <c r="V74" s="30">
        <f t="shared" si="64"/>
        <v>0</v>
      </c>
      <c r="W74" s="30">
        <f t="shared" si="65"/>
        <v>0</v>
      </c>
      <c r="X74" s="30">
        <f t="shared" si="66"/>
        <v>0</v>
      </c>
      <c r="Y74" s="30">
        <f t="shared" si="67"/>
        <v>0</v>
      </c>
      <c r="Z74" s="30">
        <f t="shared" si="68"/>
        <v>0</v>
      </c>
      <c r="AA74" s="28"/>
    </row>
    <row r="75" spans="1:27" ht="12.75">
      <c r="A75" s="6" t="s">
        <v>28</v>
      </c>
      <c r="B75" s="32">
        <f t="shared" si="56"/>
        <v>0</v>
      </c>
      <c r="C75" s="3"/>
      <c r="D75" s="3"/>
      <c r="E75" s="3"/>
      <c r="F75" s="3"/>
      <c r="G75" s="32">
        <f t="shared" si="57"/>
        <v>0</v>
      </c>
      <c r="H75" s="3"/>
      <c r="I75" s="3"/>
      <c r="J75" s="3"/>
      <c r="K75" s="3"/>
      <c r="L75" s="30">
        <f t="shared" si="58"/>
        <v>0</v>
      </c>
      <c r="M75" s="30">
        <f t="shared" si="59"/>
        <v>0</v>
      </c>
      <c r="N75" s="30">
        <f t="shared" si="60"/>
        <v>0</v>
      </c>
      <c r="O75" s="30">
        <f t="shared" si="61"/>
        <v>0</v>
      </c>
      <c r="P75" s="30">
        <f t="shared" si="62"/>
        <v>0</v>
      </c>
      <c r="Q75" s="30">
        <f t="shared" si="63"/>
        <v>0</v>
      </c>
      <c r="R75" s="30"/>
      <c r="S75" s="30"/>
      <c r="T75" s="30"/>
      <c r="U75" s="30"/>
      <c r="V75" s="30">
        <f t="shared" si="64"/>
        <v>0</v>
      </c>
      <c r="W75" s="30">
        <f t="shared" si="65"/>
        <v>0</v>
      </c>
      <c r="X75" s="30">
        <f t="shared" si="66"/>
        <v>0</v>
      </c>
      <c r="Y75" s="30">
        <f t="shared" si="67"/>
        <v>0</v>
      </c>
      <c r="Z75" s="30">
        <f t="shared" si="68"/>
        <v>0</v>
      </c>
      <c r="AA75" s="28"/>
    </row>
    <row r="76" spans="1:27" ht="12.75">
      <c r="A76" s="49" t="s">
        <v>58</v>
      </c>
      <c r="B76" s="32">
        <f t="shared" si="56"/>
        <v>27.870433000000002</v>
      </c>
      <c r="C76" s="3">
        <f>('[1]Тов. продукция факт 2010'!$GZ$14)/1000</f>
        <v>0</v>
      </c>
      <c r="D76" s="3">
        <f>('[1]Тов. продукция факт 2010'!$GZ$23)/1000</f>
        <v>0</v>
      </c>
      <c r="E76" s="3">
        <f>('[1]Тов. продукция факт 2010'!$GZ$32)/1000</f>
        <v>0</v>
      </c>
      <c r="F76" s="3">
        <f>('[1]Тов. продукция факт 2010'!$GZ$41)/1000</f>
        <v>27.870433000000002</v>
      </c>
      <c r="G76" s="32">
        <f t="shared" si="57"/>
        <v>0</v>
      </c>
      <c r="H76" s="3"/>
      <c r="I76" s="3"/>
      <c r="J76" s="3"/>
      <c r="K76" s="3"/>
      <c r="L76" s="30">
        <f>SUM(M76:P76)</f>
        <v>5635.122848270001</v>
      </c>
      <c r="M76" s="30">
        <f t="shared" si="59"/>
        <v>0</v>
      </c>
      <c r="N76" s="30">
        <f>D76*$E$6</f>
        <v>0</v>
      </c>
      <c r="O76" s="30">
        <f>E76*$E$6</f>
        <v>0</v>
      </c>
      <c r="P76" s="30">
        <f>F76*$E$6</f>
        <v>5635.122848270001</v>
      </c>
      <c r="Q76" s="30">
        <f>SUM(R76:U76)</f>
        <v>0</v>
      </c>
      <c r="R76" s="30"/>
      <c r="S76" s="30"/>
      <c r="T76" s="30"/>
      <c r="U76" s="30"/>
      <c r="V76" s="30">
        <f>SUM(W76:Z76)</f>
        <v>5635.122848270001</v>
      </c>
      <c r="W76" s="30">
        <f t="shared" si="65"/>
        <v>0</v>
      </c>
      <c r="X76" s="30">
        <f>N76+S76</f>
        <v>0</v>
      </c>
      <c r="Y76" s="30">
        <f>O76+T76</f>
        <v>0</v>
      </c>
      <c r="Z76" s="30">
        <f>P76+U76</f>
        <v>5635.122848270001</v>
      </c>
      <c r="AA76" s="46">
        <f>V76-'[1]Тов. продукция факт 2010'!$GZ$9</f>
        <v>0</v>
      </c>
    </row>
    <row r="77" spans="1:27" ht="12.75">
      <c r="A77" s="4" t="s">
        <v>29</v>
      </c>
      <c r="B77" s="33">
        <f>SUM(B70:B76)</f>
        <v>5618.3426340000005</v>
      </c>
      <c r="C77" s="32">
        <f aca="true" t="shared" si="69" ref="C77:Z77">SUM(C70:C76)</f>
        <v>28.802592000000004</v>
      </c>
      <c r="D77" s="32">
        <f t="shared" si="69"/>
        <v>50.87938200000001</v>
      </c>
      <c r="E77" s="32">
        <f t="shared" si="69"/>
        <v>1026.4857790000003</v>
      </c>
      <c r="F77" s="32">
        <f t="shared" si="69"/>
        <v>4512.174881</v>
      </c>
      <c r="G77" s="33">
        <f t="shared" si="69"/>
        <v>0</v>
      </c>
      <c r="H77" s="32">
        <f t="shared" si="69"/>
        <v>0</v>
      </c>
      <c r="I77" s="32">
        <f t="shared" si="69"/>
        <v>0</v>
      </c>
      <c r="J77" s="32">
        <f t="shared" si="69"/>
        <v>0</v>
      </c>
      <c r="K77" s="32">
        <f t="shared" si="69"/>
        <v>0</v>
      </c>
      <c r="L77" s="31">
        <f t="shared" si="69"/>
        <v>1135972.69716846</v>
      </c>
      <c r="M77" s="30">
        <f t="shared" si="69"/>
        <v>5823.596076480001</v>
      </c>
      <c r="N77" s="30">
        <f t="shared" si="69"/>
        <v>10287.30224658</v>
      </c>
      <c r="O77" s="30">
        <f t="shared" si="69"/>
        <v>207545.15965601004</v>
      </c>
      <c r="P77" s="30">
        <f t="shared" si="69"/>
        <v>912316.6391893901</v>
      </c>
      <c r="Q77" s="31">
        <f t="shared" si="69"/>
        <v>0</v>
      </c>
      <c r="R77" s="30">
        <f t="shared" si="69"/>
        <v>0</v>
      </c>
      <c r="S77" s="30">
        <f t="shared" si="69"/>
        <v>0</v>
      </c>
      <c r="T77" s="30">
        <f t="shared" si="69"/>
        <v>0</v>
      </c>
      <c r="U77" s="30">
        <f t="shared" si="69"/>
        <v>0</v>
      </c>
      <c r="V77" s="31">
        <f t="shared" si="69"/>
        <v>1135972.69716846</v>
      </c>
      <c r="W77" s="30">
        <f t="shared" si="69"/>
        <v>5823.596076480001</v>
      </c>
      <c r="X77" s="30">
        <f t="shared" si="69"/>
        <v>10287.30224658</v>
      </c>
      <c r="Y77" s="30">
        <f t="shared" si="69"/>
        <v>207545.15965601004</v>
      </c>
      <c r="Z77" s="30">
        <f t="shared" si="69"/>
        <v>912316.6391893901</v>
      </c>
      <c r="AA77" s="48">
        <f>SUM(AA70:AA76)</f>
        <v>0</v>
      </c>
    </row>
    <row r="78" spans="1:27" ht="12.75">
      <c r="A78" s="103" t="s">
        <v>33</v>
      </c>
      <c r="B78" s="101" t="s">
        <v>30</v>
      </c>
      <c r="C78" s="101"/>
      <c r="D78" s="101"/>
      <c r="E78" s="101"/>
      <c r="F78" s="101"/>
      <c r="G78" s="101" t="s">
        <v>31</v>
      </c>
      <c r="H78" s="101"/>
      <c r="I78" s="101"/>
      <c r="J78" s="101"/>
      <c r="K78" s="101"/>
      <c r="L78" s="101" t="s">
        <v>41</v>
      </c>
      <c r="M78" s="101"/>
      <c r="N78" s="101"/>
      <c r="O78" s="101"/>
      <c r="P78" s="101"/>
      <c r="Q78" s="101" t="s">
        <v>42</v>
      </c>
      <c r="R78" s="101"/>
      <c r="S78" s="101"/>
      <c r="T78" s="101"/>
      <c r="U78" s="101"/>
      <c r="V78" s="101" t="s">
        <v>43</v>
      </c>
      <c r="W78" s="101"/>
      <c r="X78" s="101"/>
      <c r="Y78" s="101"/>
      <c r="Z78" s="101"/>
      <c r="AA78" s="28"/>
    </row>
    <row r="79" spans="1:27" ht="12.75">
      <c r="A79" s="103"/>
      <c r="B79" s="101" t="s">
        <v>17</v>
      </c>
      <c r="C79" s="101" t="s">
        <v>18</v>
      </c>
      <c r="D79" s="101"/>
      <c r="E79" s="101"/>
      <c r="F79" s="101"/>
      <c r="G79" s="101" t="s">
        <v>17</v>
      </c>
      <c r="H79" s="101" t="s">
        <v>18</v>
      </c>
      <c r="I79" s="101"/>
      <c r="J79" s="101"/>
      <c r="K79" s="101"/>
      <c r="L79" s="101" t="s">
        <v>17</v>
      </c>
      <c r="M79" s="101" t="s">
        <v>18</v>
      </c>
      <c r="N79" s="101"/>
      <c r="O79" s="101"/>
      <c r="P79" s="101"/>
      <c r="Q79" s="101" t="s">
        <v>17</v>
      </c>
      <c r="R79" s="101" t="s">
        <v>18</v>
      </c>
      <c r="S79" s="101"/>
      <c r="T79" s="101"/>
      <c r="U79" s="101"/>
      <c r="V79" s="101" t="s">
        <v>17</v>
      </c>
      <c r="W79" s="101" t="s">
        <v>18</v>
      </c>
      <c r="X79" s="101"/>
      <c r="Y79" s="101"/>
      <c r="Z79" s="101"/>
      <c r="AA79" s="28"/>
    </row>
    <row r="80" spans="1:27" ht="12.75">
      <c r="A80" s="103"/>
      <c r="B80" s="101"/>
      <c r="C80" s="2" t="s">
        <v>19</v>
      </c>
      <c r="D80" s="2" t="s">
        <v>20</v>
      </c>
      <c r="E80" s="2" t="s">
        <v>21</v>
      </c>
      <c r="F80" s="2" t="s">
        <v>22</v>
      </c>
      <c r="G80" s="101"/>
      <c r="H80" s="2" t="s">
        <v>19</v>
      </c>
      <c r="I80" s="2" t="s">
        <v>20</v>
      </c>
      <c r="J80" s="2" t="s">
        <v>21</v>
      </c>
      <c r="K80" s="2" t="s">
        <v>22</v>
      </c>
      <c r="L80" s="101"/>
      <c r="M80" s="2" t="s">
        <v>19</v>
      </c>
      <c r="N80" s="2" t="s">
        <v>20</v>
      </c>
      <c r="O80" s="2" t="s">
        <v>21</v>
      </c>
      <c r="P80" s="2" t="s">
        <v>22</v>
      </c>
      <c r="Q80" s="101"/>
      <c r="R80" s="2" t="s">
        <v>19</v>
      </c>
      <c r="S80" s="2" t="s">
        <v>20</v>
      </c>
      <c r="T80" s="2" t="s">
        <v>21</v>
      </c>
      <c r="U80" s="2" t="s">
        <v>22</v>
      </c>
      <c r="V80" s="101"/>
      <c r="W80" s="2" t="s">
        <v>19</v>
      </c>
      <c r="X80" s="2" t="s">
        <v>20</v>
      </c>
      <c r="Y80" s="2" t="s">
        <v>21</v>
      </c>
      <c r="Z80" s="2" t="s">
        <v>22</v>
      </c>
      <c r="AA80" s="28"/>
    </row>
    <row r="81" spans="1:27" ht="12.75">
      <c r="A81" s="5" t="s">
        <v>61</v>
      </c>
      <c r="B81" s="32">
        <f aca="true" t="shared" si="70" ref="B81:B86">SUM(C81:F81)</f>
        <v>17339.548276</v>
      </c>
      <c r="C81" s="7">
        <f aca="true" t="shared" si="71" ref="C81:F85">C59+C70</f>
        <v>4564.060006</v>
      </c>
      <c r="D81" s="7">
        <f t="shared" si="71"/>
        <v>1362.829644</v>
      </c>
      <c r="E81" s="7">
        <f t="shared" si="71"/>
        <v>5831.868188000001</v>
      </c>
      <c r="F81" s="7">
        <f t="shared" si="71"/>
        <v>5580.790438</v>
      </c>
      <c r="G81" s="32">
        <f aca="true" t="shared" si="72" ref="G81:G86">SUM(H81:K81)</f>
        <v>1682.3078333333333</v>
      </c>
      <c r="H81" s="7">
        <f aca="true" t="shared" si="73" ref="H81:K85">H59+H70</f>
        <v>466.90899999999993</v>
      </c>
      <c r="I81" s="7">
        <f t="shared" si="73"/>
        <v>272.0285</v>
      </c>
      <c r="J81" s="7">
        <f t="shared" si="73"/>
        <v>655.0398333333333</v>
      </c>
      <c r="K81" s="7">
        <f t="shared" si="73"/>
        <v>288.33050000000003</v>
      </c>
      <c r="L81" s="30">
        <f aca="true" t="shared" si="74" ref="L81:L86">SUM(M81:P81)</f>
        <v>1350331.8603436002</v>
      </c>
      <c r="M81" s="30">
        <f aca="true" t="shared" si="75" ref="M81:P85">M59+M70</f>
        <v>77662.07351424</v>
      </c>
      <c r="N81" s="30">
        <f t="shared" si="75"/>
        <v>38541.3523384</v>
      </c>
      <c r="O81" s="30">
        <f t="shared" si="75"/>
        <v>351885.5774814901</v>
      </c>
      <c r="P81" s="30">
        <f t="shared" si="75"/>
        <v>882242.85700947</v>
      </c>
      <c r="Q81" s="30">
        <f aca="true" t="shared" si="76" ref="Q81:Q86">SUM(R81:U81)</f>
        <v>4811311.89635411</v>
      </c>
      <c r="R81" s="30">
        <f aca="true" t="shared" si="77" ref="R81:U85">R59+R70</f>
        <v>689396.3678808</v>
      </c>
      <c r="S81" s="30">
        <f t="shared" si="77"/>
        <v>593690.25569643</v>
      </c>
      <c r="T81" s="30">
        <f t="shared" si="77"/>
        <v>2090453.38796153</v>
      </c>
      <c r="U81" s="30">
        <f t="shared" si="77"/>
        <v>1437771.88481535</v>
      </c>
      <c r="V81" s="30">
        <f aca="true" t="shared" si="78" ref="V81:V86">SUM(W81:Z81)</f>
        <v>6161643.75669771</v>
      </c>
      <c r="W81" s="30">
        <f aca="true" t="shared" si="79" ref="W81:W87">M81+R81</f>
        <v>767058.44139504</v>
      </c>
      <c r="X81" s="30">
        <f aca="true" t="shared" si="80" ref="X81:X86">N81+S81</f>
        <v>632231.60803483</v>
      </c>
      <c r="Y81" s="30">
        <f aca="true" t="shared" si="81" ref="Y81:Y86">O81+T81</f>
        <v>2442338.9654430198</v>
      </c>
      <c r="Z81" s="30">
        <f aca="true" t="shared" si="82" ref="Z81:Z86">P81+U81</f>
        <v>2320014.7418248197</v>
      </c>
      <c r="AA81" s="28"/>
    </row>
    <row r="82" spans="1:27" ht="12.75">
      <c r="A82" s="5" t="s">
        <v>53</v>
      </c>
      <c r="B82" s="32">
        <f t="shared" si="70"/>
        <v>1499.941709</v>
      </c>
      <c r="C82" s="7">
        <f t="shared" si="71"/>
        <v>75.76728</v>
      </c>
      <c r="D82" s="7">
        <f t="shared" si="71"/>
        <v>43.22297800000001</v>
      </c>
      <c r="E82" s="7">
        <f t="shared" si="71"/>
        <v>321.11139499999996</v>
      </c>
      <c r="F82" s="7">
        <f t="shared" si="71"/>
        <v>1059.840056</v>
      </c>
      <c r="G82" s="32">
        <f t="shared" si="72"/>
        <v>138.252</v>
      </c>
      <c r="H82" s="7">
        <f t="shared" si="73"/>
        <v>18.523</v>
      </c>
      <c r="I82" s="7">
        <f t="shared" si="73"/>
        <v>4.07</v>
      </c>
      <c r="J82" s="7">
        <f t="shared" si="73"/>
        <v>45.029</v>
      </c>
      <c r="K82" s="7">
        <f t="shared" si="73"/>
        <v>70.63</v>
      </c>
      <c r="L82" s="30">
        <f t="shared" si="74"/>
        <v>171008.77360568</v>
      </c>
      <c r="M82" s="30">
        <f t="shared" si="75"/>
        <v>1200.1537152</v>
      </c>
      <c r="N82" s="30">
        <f t="shared" si="75"/>
        <v>937.6193253800002</v>
      </c>
      <c r="O82" s="30">
        <f t="shared" si="75"/>
        <v>16426.427867959996</v>
      </c>
      <c r="P82" s="30">
        <f t="shared" si="75"/>
        <v>152444.57269714</v>
      </c>
      <c r="Q82" s="30">
        <f t="shared" si="76"/>
        <v>533091.13025748</v>
      </c>
      <c r="R82" s="30">
        <f t="shared" si="77"/>
        <v>27349.4169576</v>
      </c>
      <c r="S82" s="30">
        <f t="shared" si="77"/>
        <v>8884.743740400001</v>
      </c>
      <c r="T82" s="30">
        <f t="shared" si="77"/>
        <v>143757.15923748002</v>
      </c>
      <c r="U82" s="30">
        <f t="shared" si="77"/>
        <v>353099.81032199995</v>
      </c>
      <c r="V82" s="30">
        <f t="shared" si="78"/>
        <v>704099.90386316</v>
      </c>
      <c r="W82" s="30">
        <f t="shared" si="79"/>
        <v>28549.5706728</v>
      </c>
      <c r="X82" s="30">
        <f t="shared" si="80"/>
        <v>9822.363065780002</v>
      </c>
      <c r="Y82" s="30">
        <f t="shared" si="81"/>
        <v>160183.58710544003</v>
      </c>
      <c r="Z82" s="30">
        <f t="shared" si="82"/>
        <v>505544.38301914</v>
      </c>
      <c r="AA82" s="28"/>
    </row>
    <row r="83" spans="1:27" ht="12.75">
      <c r="A83" s="5" t="s">
        <v>54</v>
      </c>
      <c r="B83" s="32">
        <f t="shared" si="70"/>
        <v>3014.4398300000003</v>
      </c>
      <c r="C83" s="7">
        <f t="shared" si="71"/>
        <v>2802.401584</v>
      </c>
      <c r="D83" s="7">
        <f t="shared" si="71"/>
        <v>30.04681</v>
      </c>
      <c r="E83" s="7">
        <f t="shared" si="71"/>
        <v>88.475945</v>
      </c>
      <c r="F83" s="7">
        <f t="shared" si="71"/>
        <v>93.515491</v>
      </c>
      <c r="G83" s="32">
        <f t="shared" si="72"/>
        <v>365.1863333333333</v>
      </c>
      <c r="H83" s="7">
        <f t="shared" si="73"/>
        <v>348.40833333333336</v>
      </c>
      <c r="I83" s="7">
        <f t="shared" si="73"/>
        <v>3.9906666666666673</v>
      </c>
      <c r="J83" s="7">
        <f t="shared" si="73"/>
        <v>10.093833333333334</v>
      </c>
      <c r="K83" s="7">
        <f t="shared" si="73"/>
        <v>2.6935000000000002</v>
      </c>
      <c r="L83" s="30">
        <f t="shared" si="74"/>
        <v>64786.34201665</v>
      </c>
      <c r="M83" s="30">
        <f t="shared" si="75"/>
        <v>44390.04109056</v>
      </c>
      <c r="N83" s="30">
        <f t="shared" si="75"/>
        <v>647.8200121</v>
      </c>
      <c r="O83" s="30">
        <f t="shared" si="75"/>
        <v>2774.6056351999996</v>
      </c>
      <c r="P83" s="30">
        <f t="shared" si="75"/>
        <v>16973.875278789998</v>
      </c>
      <c r="Q83" s="30">
        <f t="shared" si="76"/>
        <v>568830.9811484402</v>
      </c>
      <c r="R83" s="30">
        <f t="shared" si="77"/>
        <v>514428.80634000007</v>
      </c>
      <c r="S83" s="30">
        <f t="shared" si="77"/>
        <v>8711.56036528</v>
      </c>
      <c r="T83" s="30">
        <f t="shared" si="77"/>
        <v>32225.02844426001</v>
      </c>
      <c r="U83" s="30">
        <f t="shared" si="77"/>
        <v>13465.585998900002</v>
      </c>
      <c r="V83" s="30">
        <f t="shared" si="78"/>
        <v>633617.32316509</v>
      </c>
      <c r="W83" s="30">
        <f t="shared" si="79"/>
        <v>558818.84743056</v>
      </c>
      <c r="X83" s="30">
        <f t="shared" si="80"/>
        <v>9359.38037738</v>
      </c>
      <c r="Y83" s="30">
        <f t="shared" si="81"/>
        <v>34999.63407946001</v>
      </c>
      <c r="Z83" s="30">
        <f t="shared" si="82"/>
        <v>30439.46127769</v>
      </c>
      <c r="AA83" s="28"/>
    </row>
    <row r="84" spans="1:27" ht="12.75">
      <c r="A84" s="5" t="s">
        <v>26</v>
      </c>
      <c r="B84" s="32">
        <f t="shared" si="70"/>
        <v>17329.929560999997</v>
      </c>
      <c r="C84" s="7">
        <f t="shared" si="71"/>
        <v>17329.929560999997</v>
      </c>
      <c r="D84" s="7">
        <f t="shared" si="71"/>
        <v>0</v>
      </c>
      <c r="E84" s="7">
        <f t="shared" si="71"/>
        <v>0</v>
      </c>
      <c r="F84" s="7">
        <f t="shared" si="71"/>
        <v>0</v>
      </c>
      <c r="G84" s="32">
        <f t="shared" si="72"/>
        <v>1973.75</v>
      </c>
      <c r="H84" s="7">
        <f t="shared" si="73"/>
        <v>1973.75</v>
      </c>
      <c r="I84" s="7">
        <f t="shared" si="73"/>
        <v>0</v>
      </c>
      <c r="J84" s="7">
        <f t="shared" si="73"/>
        <v>0</v>
      </c>
      <c r="K84" s="7">
        <f t="shared" si="73"/>
        <v>0</v>
      </c>
      <c r="L84" s="30">
        <f t="shared" si="74"/>
        <v>274506.08424624</v>
      </c>
      <c r="M84" s="30">
        <f t="shared" si="75"/>
        <v>274506.08424624</v>
      </c>
      <c r="N84" s="30">
        <f t="shared" si="75"/>
        <v>0</v>
      </c>
      <c r="O84" s="30">
        <f t="shared" si="75"/>
        <v>0</v>
      </c>
      <c r="P84" s="30">
        <f t="shared" si="75"/>
        <v>0</v>
      </c>
      <c r="Q84" s="30">
        <f t="shared" si="76"/>
        <v>2914263.981</v>
      </c>
      <c r="R84" s="30">
        <f t="shared" si="77"/>
        <v>2914263.981</v>
      </c>
      <c r="S84" s="30">
        <f t="shared" si="77"/>
        <v>0</v>
      </c>
      <c r="T84" s="30">
        <f t="shared" si="77"/>
        <v>0</v>
      </c>
      <c r="U84" s="30">
        <f t="shared" si="77"/>
        <v>0</v>
      </c>
      <c r="V84" s="30">
        <f t="shared" si="78"/>
        <v>3188770.0652462402</v>
      </c>
      <c r="W84" s="30">
        <f t="shared" si="79"/>
        <v>3188770.0652462402</v>
      </c>
      <c r="X84" s="30">
        <f t="shared" si="80"/>
        <v>0</v>
      </c>
      <c r="Y84" s="30">
        <f t="shared" si="81"/>
        <v>0</v>
      </c>
      <c r="Z84" s="30">
        <f t="shared" si="82"/>
        <v>0</v>
      </c>
      <c r="AA84" s="28"/>
    </row>
    <row r="85" spans="1:27" ht="12.75">
      <c r="A85" s="5" t="s">
        <v>27</v>
      </c>
      <c r="B85" s="32">
        <f t="shared" si="70"/>
        <v>6861.982136</v>
      </c>
      <c r="C85" s="7">
        <f t="shared" si="71"/>
        <v>6861.982136</v>
      </c>
      <c r="D85" s="7">
        <f t="shared" si="71"/>
        <v>0</v>
      </c>
      <c r="E85" s="7">
        <f t="shared" si="71"/>
        <v>0</v>
      </c>
      <c r="F85" s="7">
        <f t="shared" si="71"/>
        <v>0</v>
      </c>
      <c r="G85" s="32">
        <f t="shared" si="72"/>
        <v>802.2916666666666</v>
      </c>
      <c r="H85" s="7">
        <f t="shared" si="73"/>
        <v>802.2916666666666</v>
      </c>
      <c r="I85" s="7">
        <f t="shared" si="73"/>
        <v>0</v>
      </c>
      <c r="J85" s="7">
        <f t="shared" si="73"/>
        <v>0</v>
      </c>
      <c r="K85" s="7">
        <f t="shared" si="73"/>
        <v>0</v>
      </c>
      <c r="L85" s="30">
        <f t="shared" si="74"/>
        <v>108693.79703424</v>
      </c>
      <c r="M85" s="30">
        <f t="shared" si="75"/>
        <v>108693.79703424</v>
      </c>
      <c r="N85" s="30">
        <f t="shared" si="75"/>
        <v>0</v>
      </c>
      <c r="O85" s="30">
        <f t="shared" si="75"/>
        <v>0</v>
      </c>
      <c r="P85" s="30">
        <f t="shared" si="75"/>
        <v>0</v>
      </c>
      <c r="Q85" s="30">
        <f t="shared" si="76"/>
        <v>1184592.6315</v>
      </c>
      <c r="R85" s="30">
        <f t="shared" si="77"/>
        <v>1184592.6315</v>
      </c>
      <c r="S85" s="30">
        <f t="shared" si="77"/>
        <v>0</v>
      </c>
      <c r="T85" s="30">
        <f t="shared" si="77"/>
        <v>0</v>
      </c>
      <c r="U85" s="30">
        <f t="shared" si="77"/>
        <v>0</v>
      </c>
      <c r="V85" s="30">
        <f t="shared" si="78"/>
        <v>1293286.42853424</v>
      </c>
      <c r="W85" s="30">
        <f t="shared" si="79"/>
        <v>1293286.42853424</v>
      </c>
      <c r="X85" s="30">
        <f t="shared" si="80"/>
        <v>0</v>
      </c>
      <c r="Y85" s="30">
        <f t="shared" si="81"/>
        <v>0</v>
      </c>
      <c r="Z85" s="30">
        <f t="shared" si="82"/>
        <v>0</v>
      </c>
      <c r="AA85" s="28"/>
    </row>
    <row r="86" spans="1:27" ht="12.75">
      <c r="A86" s="6" t="s">
        <v>28</v>
      </c>
      <c r="B86" s="32">
        <f t="shared" si="70"/>
        <v>40.19906499999999</v>
      </c>
      <c r="C86" s="7">
        <f aca="true" t="shared" si="83" ref="C86:F87">C64+C75</f>
        <v>0</v>
      </c>
      <c r="D86" s="7">
        <f t="shared" si="83"/>
        <v>0</v>
      </c>
      <c r="E86" s="7">
        <f t="shared" si="83"/>
        <v>40.19906499999999</v>
      </c>
      <c r="F86" s="7">
        <f t="shared" si="83"/>
        <v>0</v>
      </c>
      <c r="G86" s="32">
        <f t="shared" si="72"/>
        <v>6.597666666666666</v>
      </c>
      <c r="H86" s="7">
        <f aca="true" t="shared" si="84" ref="H86:K87">H64+H75</f>
        <v>0</v>
      </c>
      <c r="I86" s="7">
        <f t="shared" si="84"/>
        <v>0</v>
      </c>
      <c r="J86" s="7">
        <f t="shared" si="84"/>
        <v>6.597666666666666</v>
      </c>
      <c r="K86" s="7">
        <f t="shared" si="84"/>
        <v>0</v>
      </c>
      <c r="L86" s="30">
        <f t="shared" si="74"/>
        <v>1260.6426783999996</v>
      </c>
      <c r="M86" s="30">
        <f aca="true" t="shared" si="85" ref="M86:P87">M64+M75</f>
        <v>0</v>
      </c>
      <c r="N86" s="30">
        <f t="shared" si="85"/>
        <v>0</v>
      </c>
      <c r="O86" s="30">
        <f t="shared" si="85"/>
        <v>1260.6426783999996</v>
      </c>
      <c r="P86" s="30">
        <f t="shared" si="85"/>
        <v>0</v>
      </c>
      <c r="Q86" s="30">
        <f t="shared" si="76"/>
        <v>21063.35511772</v>
      </c>
      <c r="R86" s="30">
        <f aca="true" t="shared" si="86" ref="R86:U87">R64+R75</f>
        <v>0</v>
      </c>
      <c r="S86" s="30">
        <f t="shared" si="86"/>
        <v>0</v>
      </c>
      <c r="T86" s="30">
        <f t="shared" si="86"/>
        <v>21063.35511772</v>
      </c>
      <c r="U86" s="30">
        <f t="shared" si="86"/>
        <v>0</v>
      </c>
      <c r="V86" s="36">
        <f t="shared" si="78"/>
        <v>22323.99779612</v>
      </c>
      <c r="W86" s="30">
        <f t="shared" si="79"/>
        <v>0</v>
      </c>
      <c r="X86" s="30">
        <f t="shared" si="80"/>
        <v>0</v>
      </c>
      <c r="Y86" s="30">
        <f t="shared" si="81"/>
        <v>22323.99779612</v>
      </c>
      <c r="Z86" s="30">
        <f t="shared" si="82"/>
        <v>0</v>
      </c>
      <c r="AA86" s="28"/>
    </row>
    <row r="87" spans="1:27" ht="13.5" thickBot="1">
      <c r="A87" s="49" t="s">
        <v>58</v>
      </c>
      <c r="B87" s="32">
        <f>SUM(C87:F87)</f>
        <v>259.79331032000005</v>
      </c>
      <c r="C87" s="7">
        <f t="shared" si="83"/>
        <v>88.05080812</v>
      </c>
      <c r="D87" s="7">
        <f t="shared" si="83"/>
        <v>108.2511599</v>
      </c>
      <c r="E87" s="7">
        <f t="shared" si="83"/>
        <v>19.606553199999997</v>
      </c>
      <c r="F87" s="7">
        <f t="shared" si="83"/>
        <v>43.884789100000006</v>
      </c>
      <c r="G87" s="32">
        <f>SUM(H87:K87)</f>
        <v>44.876000000000005</v>
      </c>
      <c r="H87" s="7">
        <f t="shared" si="84"/>
        <v>14.662</v>
      </c>
      <c r="I87" s="7">
        <f t="shared" si="84"/>
        <v>20.945833333333336</v>
      </c>
      <c r="J87" s="7">
        <f t="shared" si="84"/>
        <v>4.2413333333333325</v>
      </c>
      <c r="K87" s="7">
        <f t="shared" si="84"/>
        <v>5.026833333333333</v>
      </c>
      <c r="L87" s="30">
        <f>SUM(M87:P87)</f>
        <v>11102.582757685801</v>
      </c>
      <c r="M87" s="30">
        <f t="shared" si="85"/>
        <v>1394.7248006208</v>
      </c>
      <c r="N87" s="30">
        <f t="shared" si="85"/>
        <v>2425.908493359</v>
      </c>
      <c r="O87" s="30">
        <f t="shared" si="85"/>
        <v>614.8615083519999</v>
      </c>
      <c r="P87" s="30">
        <f t="shared" si="85"/>
        <v>6667.087955354001</v>
      </c>
      <c r="Q87" s="30">
        <f>SUM(R87:U87)</f>
        <v>53022.13362938</v>
      </c>
      <c r="R87" s="30">
        <f t="shared" si="86"/>
        <v>10824.3036072</v>
      </c>
      <c r="S87" s="30">
        <f t="shared" si="86"/>
        <v>22862.20658425</v>
      </c>
      <c r="T87" s="30">
        <f t="shared" si="86"/>
        <v>6770.326138479998</v>
      </c>
      <c r="U87" s="30">
        <f t="shared" si="86"/>
        <v>12565.29729945</v>
      </c>
      <c r="V87" s="36">
        <f>SUM(W87:Z87)</f>
        <v>64124.7163870658</v>
      </c>
      <c r="W87" s="30">
        <f t="shared" si="79"/>
        <v>12219.028407820799</v>
      </c>
      <c r="X87" s="30">
        <f>N87+S87</f>
        <v>25288.115077609</v>
      </c>
      <c r="Y87" s="30">
        <f>O87+T87</f>
        <v>7385.187646831998</v>
      </c>
      <c r="Z87" s="30">
        <f>P87+U87</f>
        <v>19232.385254804</v>
      </c>
      <c r="AA87" s="28"/>
    </row>
    <row r="88" spans="1:27" ht="13.5" thickBot="1">
      <c r="A88" s="4" t="s">
        <v>29</v>
      </c>
      <c r="B88" s="33">
        <f aca="true" t="shared" si="87" ref="B88:Z88">SUM(B81:B87)</f>
        <v>46345.83388731999</v>
      </c>
      <c r="C88" s="32">
        <f t="shared" si="87"/>
        <v>31722.191375119994</v>
      </c>
      <c r="D88" s="32">
        <f t="shared" si="87"/>
        <v>1544.3505919</v>
      </c>
      <c r="E88" s="32">
        <f t="shared" si="87"/>
        <v>6301.261146200001</v>
      </c>
      <c r="F88" s="32">
        <f t="shared" si="87"/>
        <v>6778.0307741</v>
      </c>
      <c r="G88" s="33">
        <f t="shared" si="87"/>
        <v>5013.2615000000005</v>
      </c>
      <c r="H88" s="32">
        <f t="shared" si="87"/>
        <v>3624.544</v>
      </c>
      <c r="I88" s="32">
        <f t="shared" si="87"/>
        <v>301.03499999999997</v>
      </c>
      <c r="J88" s="32">
        <f t="shared" si="87"/>
        <v>721.0016666666667</v>
      </c>
      <c r="K88" s="32">
        <f t="shared" si="87"/>
        <v>366.68083333333334</v>
      </c>
      <c r="L88" s="31">
        <f t="shared" si="87"/>
        <v>1981690.0826824962</v>
      </c>
      <c r="M88" s="30">
        <f t="shared" si="87"/>
        <v>507846.87440110074</v>
      </c>
      <c r="N88" s="30">
        <f t="shared" si="87"/>
        <v>42552.700169239</v>
      </c>
      <c r="O88" s="30">
        <f t="shared" si="87"/>
        <v>372962.11517140205</v>
      </c>
      <c r="P88" s="30">
        <f t="shared" si="87"/>
        <v>1058328.392940754</v>
      </c>
      <c r="Q88" s="31">
        <f t="shared" si="87"/>
        <v>10086176.10900713</v>
      </c>
      <c r="R88" s="30">
        <f t="shared" si="87"/>
        <v>5340855.5072856005</v>
      </c>
      <c r="S88" s="30">
        <f t="shared" si="87"/>
        <v>634148.7663863599</v>
      </c>
      <c r="T88" s="30">
        <f t="shared" si="87"/>
        <v>2294269.25689947</v>
      </c>
      <c r="U88" s="34">
        <f t="shared" si="87"/>
        <v>1816902.5784357</v>
      </c>
      <c r="V88" s="37">
        <f t="shared" si="87"/>
        <v>12067866.191689625</v>
      </c>
      <c r="W88" s="35">
        <f t="shared" si="87"/>
        <v>5848702.381686701</v>
      </c>
      <c r="X88" s="30">
        <f t="shared" si="87"/>
        <v>676701.4665555989</v>
      </c>
      <c r="Y88" s="30">
        <f t="shared" si="87"/>
        <v>2667231.3720708718</v>
      </c>
      <c r="Z88" s="30">
        <f t="shared" si="87"/>
        <v>2875230.9713764535</v>
      </c>
      <c r="AA88" s="60">
        <f>V88-'[1]Тов. продукция факт 2010'!$GO$9</f>
        <v>-0.004859182983636856</v>
      </c>
    </row>
    <row r="89" spans="2:22" ht="12.75">
      <c r="B89" s="47">
        <f>B88-'[1]Тов. продукция факт 2010'!$GO$6/1000</f>
        <v>0</v>
      </c>
      <c r="G89" s="47">
        <f>G88-'[1]Тов. продукция факт 2010'!$GO$5</f>
        <v>2.1184242424242257</v>
      </c>
      <c r="L89" s="69">
        <f>ROUND(L88-'[5]Товарная продукция'!$C$8,3)</f>
        <v>0</v>
      </c>
      <c r="Q89" s="72">
        <f>ROUND(Q88-'[5]Товарная продукция'!$C$7,3)</f>
        <v>0</v>
      </c>
      <c r="V89" s="70">
        <f>ROUND(V88-'[5]Товарная продукция'!$C$9,3)</f>
        <v>0</v>
      </c>
    </row>
    <row r="90" spans="12:17" ht="12.75">
      <c r="L90" s="52"/>
      <c r="Q90" s="52"/>
    </row>
    <row r="91" ht="12.75">
      <c r="B91" s="29"/>
    </row>
    <row r="92" spans="1:11" ht="12.75">
      <c r="A92" s="100" t="s">
        <v>63</v>
      </c>
      <c r="B92" s="101" t="s">
        <v>30</v>
      </c>
      <c r="C92" s="101"/>
      <c r="D92" s="101"/>
      <c r="E92" s="101"/>
      <c r="F92" s="101"/>
      <c r="G92" s="101" t="s">
        <v>31</v>
      </c>
      <c r="H92" s="101"/>
      <c r="I92" s="101"/>
      <c r="J92" s="101"/>
      <c r="K92" s="101"/>
    </row>
    <row r="93" spans="1:11" ht="12.75">
      <c r="A93" s="100"/>
      <c r="B93" s="101" t="s">
        <v>17</v>
      </c>
      <c r="C93" s="101" t="s">
        <v>18</v>
      </c>
      <c r="D93" s="101"/>
      <c r="E93" s="101"/>
      <c r="F93" s="101"/>
      <c r="G93" s="101" t="s">
        <v>17</v>
      </c>
      <c r="H93" s="101" t="s">
        <v>18</v>
      </c>
      <c r="I93" s="101"/>
      <c r="J93" s="101"/>
      <c r="K93" s="101"/>
    </row>
    <row r="94" spans="1:11" ht="12.75">
      <c r="A94" s="100"/>
      <c r="B94" s="102"/>
      <c r="C94" s="61" t="s">
        <v>19</v>
      </c>
      <c r="D94" s="61" t="s">
        <v>20</v>
      </c>
      <c r="E94" s="61" t="s">
        <v>21</v>
      </c>
      <c r="F94" s="61" t="s">
        <v>22</v>
      </c>
      <c r="G94" s="102"/>
      <c r="H94" s="61" t="s">
        <v>19</v>
      </c>
      <c r="I94" s="61" t="s">
        <v>20</v>
      </c>
      <c r="J94" s="61" t="s">
        <v>21</v>
      </c>
      <c r="K94" s="61" t="s">
        <v>22</v>
      </c>
    </row>
    <row r="95" spans="1:11" ht="12.75">
      <c r="A95" s="5" t="s">
        <v>16</v>
      </c>
      <c r="B95" s="64">
        <f>B66/B22</f>
        <v>1.0113374359865885</v>
      </c>
      <c r="C95" s="65">
        <f aca="true" t="shared" si="88" ref="C95:K95">C66/C22</f>
        <v>1.0401530347715378</v>
      </c>
      <c r="D95" s="65">
        <f t="shared" si="88"/>
        <v>0.6835279719791498</v>
      </c>
      <c r="E95" s="65">
        <f t="shared" si="88"/>
        <v>1.0332657368036662</v>
      </c>
      <c r="F95" s="65">
        <f t="shared" si="88"/>
        <v>0.9023384889813595</v>
      </c>
      <c r="G95" s="64">
        <f t="shared" si="88"/>
        <v>1.0156525688347509</v>
      </c>
      <c r="H95" s="65">
        <f t="shared" si="88"/>
        <v>1.019771461716262</v>
      </c>
      <c r="I95" s="65">
        <f t="shared" si="88"/>
        <v>0.9960575611339538</v>
      </c>
      <c r="J95" s="65">
        <f t="shared" si="88"/>
        <v>1.0212492965147926</v>
      </c>
      <c r="K95" s="65">
        <f t="shared" si="88"/>
        <v>0.9817336826628702</v>
      </c>
    </row>
    <row r="96" spans="1:11" ht="12.75">
      <c r="A96" s="5" t="s">
        <v>32</v>
      </c>
      <c r="B96" s="64">
        <f>B77/B33</f>
        <v>1.0559581877155544</v>
      </c>
      <c r="C96" s="65">
        <f>C77/C33</f>
        <v>7.456016567434638</v>
      </c>
      <c r="D96" s="65">
        <f>D77/D33</f>
        <v>2.8123471521454935</v>
      </c>
      <c r="E96" s="65">
        <f>E77/E33</f>
        <v>1.1101018042054365</v>
      </c>
      <c r="F96" s="65">
        <f>F77/F33</f>
        <v>1.0315949313716095</v>
      </c>
      <c r="G96" s="66"/>
      <c r="H96" s="67"/>
      <c r="I96" s="67"/>
      <c r="J96" s="67"/>
      <c r="K96" s="67"/>
    </row>
    <row r="97" spans="1:11" ht="12.75">
      <c r="A97" s="4" t="s">
        <v>29</v>
      </c>
      <c r="B97" s="64">
        <f>B88/B44</f>
        <v>1.0165447550051994</v>
      </c>
      <c r="C97" s="65">
        <f>C88/C44</f>
        <v>1.040966339564358</v>
      </c>
      <c r="D97" s="65">
        <f>D88/D44</f>
        <v>0.7010099247020483</v>
      </c>
      <c r="E97" s="65">
        <f>E88/E44</f>
        <v>1.0450489685608713</v>
      </c>
      <c r="F97" s="65">
        <f>F88/F44</f>
        <v>0.9844530952336759</v>
      </c>
      <c r="G97" s="66"/>
      <c r="H97" s="67"/>
      <c r="I97" s="67"/>
      <c r="J97" s="67"/>
      <c r="K97" s="67"/>
    </row>
    <row r="98" spans="2:11" ht="12.75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>
      <c r="A99" s="100" t="s">
        <v>64</v>
      </c>
      <c r="B99" s="101" t="s">
        <v>30</v>
      </c>
      <c r="C99" s="101"/>
      <c r="D99" s="101"/>
      <c r="E99" s="101"/>
      <c r="F99" s="101"/>
      <c r="G99" s="101" t="s">
        <v>31</v>
      </c>
      <c r="H99" s="101"/>
      <c r="I99" s="101"/>
      <c r="J99" s="101"/>
      <c r="K99" s="101"/>
    </row>
    <row r="100" spans="1:11" ht="12.75">
      <c r="A100" s="100"/>
      <c r="B100" s="101" t="s">
        <v>17</v>
      </c>
      <c r="C100" s="101" t="s">
        <v>18</v>
      </c>
      <c r="D100" s="101"/>
      <c r="E100" s="101"/>
      <c r="F100" s="101"/>
      <c r="G100" s="101" t="s">
        <v>17</v>
      </c>
      <c r="H100" s="101" t="s">
        <v>18</v>
      </c>
      <c r="I100" s="101"/>
      <c r="J100" s="101"/>
      <c r="K100" s="101"/>
    </row>
    <row r="101" spans="1:11" ht="12.75">
      <c r="A101" s="100"/>
      <c r="B101" s="102"/>
      <c r="C101" s="61" t="s">
        <v>19</v>
      </c>
      <c r="D101" s="61" t="s">
        <v>20</v>
      </c>
      <c r="E101" s="61" t="s">
        <v>21</v>
      </c>
      <c r="F101" s="61" t="s">
        <v>22</v>
      </c>
      <c r="G101" s="102"/>
      <c r="H101" s="61" t="s">
        <v>19</v>
      </c>
      <c r="I101" s="61" t="s">
        <v>20</v>
      </c>
      <c r="J101" s="61" t="s">
        <v>21</v>
      </c>
      <c r="K101" s="61" t="s">
        <v>22</v>
      </c>
    </row>
    <row r="102" spans="1:11" ht="12.75">
      <c r="A102" s="5" t="s">
        <v>16</v>
      </c>
      <c r="B102" s="43">
        <f>B66-B22</f>
        <v>456.5690031323902</v>
      </c>
      <c r="C102" s="63">
        <f aca="true" t="shared" si="89" ref="C102:K102">C66-C22</f>
        <v>1223.4601056718493</v>
      </c>
      <c r="D102" s="63">
        <f t="shared" si="89"/>
        <v>-691.4740609945707</v>
      </c>
      <c r="E102" s="63">
        <f t="shared" si="89"/>
        <v>169.82009836747147</v>
      </c>
      <c r="F102" s="63">
        <f t="shared" si="89"/>
        <v>-245.237139912369</v>
      </c>
      <c r="G102" s="43">
        <f t="shared" si="89"/>
        <v>77.26108624466451</v>
      </c>
      <c r="H102" s="63">
        <f t="shared" si="89"/>
        <v>70.2731304269887</v>
      </c>
      <c r="I102" s="63">
        <f t="shared" si="89"/>
        <v>-1.1915095375503029</v>
      </c>
      <c r="J102" s="63">
        <f t="shared" si="89"/>
        <v>15.001996334239493</v>
      </c>
      <c r="K102" s="63">
        <f t="shared" si="89"/>
        <v>-6.822530979014971</v>
      </c>
    </row>
    <row r="103" spans="1:11" ht="12.75">
      <c r="A103" s="5" t="s">
        <v>32</v>
      </c>
      <c r="B103" s="43">
        <f>B77-B33</f>
        <v>297.7317430000012</v>
      </c>
      <c r="C103" s="63">
        <f>C77-C33</f>
        <v>24.939592000000005</v>
      </c>
      <c r="D103" s="63">
        <f>D77-D33</f>
        <v>32.78795187154486</v>
      </c>
      <c r="E103" s="63">
        <f>E77-E33</f>
        <v>101.80862316498656</v>
      </c>
      <c r="F103" s="63">
        <f>F77-F33</f>
        <v>138.1955759634693</v>
      </c>
      <c r="G103" s="62"/>
      <c r="H103" s="62"/>
      <c r="I103" s="62"/>
      <c r="J103" s="62"/>
      <c r="K103" s="62"/>
    </row>
    <row r="104" spans="1:11" ht="12.75">
      <c r="A104" s="4" t="s">
        <v>29</v>
      </c>
      <c r="B104" s="43">
        <f>B88-B44</f>
        <v>754.3007461323796</v>
      </c>
      <c r="C104" s="63">
        <f>C88-C44</f>
        <v>1248.3996976718481</v>
      </c>
      <c r="D104" s="63">
        <f>D88-D44</f>
        <v>-658.6861091230257</v>
      </c>
      <c r="E104" s="63">
        <f>E88-E44</f>
        <v>271.62872153245826</v>
      </c>
      <c r="F104" s="63">
        <f>F88-F44</f>
        <v>-107.04156394889924</v>
      </c>
      <c r="G104" s="62"/>
      <c r="H104" s="62"/>
      <c r="I104" s="62"/>
      <c r="J104" s="62"/>
      <c r="K104" s="62"/>
    </row>
    <row r="106" spans="1:16" ht="12.75" customHeight="1">
      <c r="A106" s="100" t="s">
        <v>65</v>
      </c>
      <c r="B106" s="101" t="s">
        <v>66</v>
      </c>
      <c r="C106" s="101"/>
      <c r="D106" s="101"/>
      <c r="E106" s="101"/>
      <c r="F106" s="101"/>
      <c r="G106" s="101" t="s">
        <v>67</v>
      </c>
      <c r="H106" s="101"/>
      <c r="I106" s="101"/>
      <c r="J106" s="101"/>
      <c r="K106" s="101"/>
      <c r="L106" s="101" t="s">
        <v>68</v>
      </c>
      <c r="M106" s="101"/>
      <c r="N106" s="101"/>
      <c r="O106" s="101"/>
      <c r="P106" s="101"/>
    </row>
    <row r="107" spans="1:16" ht="12.75">
      <c r="A107" s="100"/>
      <c r="B107" s="101" t="s">
        <v>17</v>
      </c>
      <c r="C107" s="101" t="s">
        <v>18</v>
      </c>
      <c r="D107" s="101"/>
      <c r="E107" s="101"/>
      <c r="F107" s="101"/>
      <c r="G107" s="101" t="s">
        <v>17</v>
      </c>
      <c r="H107" s="101" t="s">
        <v>18</v>
      </c>
      <c r="I107" s="101"/>
      <c r="J107" s="101"/>
      <c r="K107" s="101"/>
      <c r="L107" s="101" t="s">
        <v>17</v>
      </c>
      <c r="M107" s="101" t="s">
        <v>18</v>
      </c>
      <c r="N107" s="101"/>
      <c r="O107" s="101"/>
      <c r="P107" s="101"/>
    </row>
    <row r="108" spans="1:16" ht="12.75">
      <c r="A108" s="100"/>
      <c r="B108" s="102"/>
      <c r="C108" s="61" t="s">
        <v>19</v>
      </c>
      <c r="D108" s="61" t="s">
        <v>20</v>
      </c>
      <c r="E108" s="61" t="s">
        <v>21</v>
      </c>
      <c r="F108" s="61" t="s">
        <v>22</v>
      </c>
      <c r="G108" s="102"/>
      <c r="H108" s="61" t="s">
        <v>19</v>
      </c>
      <c r="I108" s="61" t="s">
        <v>20</v>
      </c>
      <c r="J108" s="61" t="s">
        <v>21</v>
      </c>
      <c r="K108" s="61" t="s">
        <v>22</v>
      </c>
      <c r="L108" s="102"/>
      <c r="M108" s="61" t="s">
        <v>19</v>
      </c>
      <c r="N108" s="61" t="s">
        <v>20</v>
      </c>
      <c r="O108" s="61" t="s">
        <v>21</v>
      </c>
      <c r="P108" s="61" t="s">
        <v>22</v>
      </c>
    </row>
    <row r="109" spans="1:16" ht="12.75">
      <c r="A109" s="5" t="s">
        <v>16</v>
      </c>
      <c r="B109" s="39">
        <f>L66-L22</f>
        <v>-7797.140535395243</v>
      </c>
      <c r="C109" s="40">
        <f aca="true" t="shared" si="90" ref="C109:K109">M66-M22</f>
        <v>19379.60807384213</v>
      </c>
      <c r="D109" s="40">
        <f t="shared" si="90"/>
        <v>-16699.225598088327</v>
      </c>
      <c r="E109" s="40">
        <f t="shared" si="90"/>
        <v>5325.558284803934</v>
      </c>
      <c r="F109" s="40">
        <f t="shared" si="90"/>
        <v>-15803.081295953074</v>
      </c>
      <c r="G109" s="39">
        <f t="shared" si="90"/>
        <v>133598.40050751343</v>
      </c>
      <c r="H109" s="40">
        <f t="shared" si="90"/>
        <v>104421.27940771077</v>
      </c>
      <c r="I109" s="40">
        <f t="shared" si="90"/>
        <v>-1300.3514561968623</v>
      </c>
      <c r="J109" s="40">
        <f t="shared" si="90"/>
        <v>47533.53643206088</v>
      </c>
      <c r="K109" s="40">
        <f t="shared" si="90"/>
        <v>-17056.063876061467</v>
      </c>
      <c r="L109" s="39">
        <f>SUM(M109:P109)</f>
        <v>125801.25997211799</v>
      </c>
      <c r="M109" s="40">
        <f aca="true" t="shared" si="91" ref="M109:P111">C109+H109</f>
        <v>123800.8874815529</v>
      </c>
      <c r="N109" s="40">
        <f t="shared" si="91"/>
        <v>-17999.57705428519</v>
      </c>
      <c r="O109" s="40">
        <f t="shared" si="91"/>
        <v>52859.09471686481</v>
      </c>
      <c r="P109" s="40">
        <f t="shared" si="91"/>
        <v>-32859.14517201454</v>
      </c>
    </row>
    <row r="110" spans="1:16" ht="12.75">
      <c r="A110" s="5" t="s">
        <v>32</v>
      </c>
      <c r="B110" s="39">
        <f>L77-L33</f>
        <v>60198.381117170444</v>
      </c>
      <c r="C110" s="40">
        <f>M77-M33</f>
        <v>5042.536106480001</v>
      </c>
      <c r="D110" s="40">
        <f>N77-N33</f>
        <v>6629.395988907655</v>
      </c>
      <c r="E110" s="40">
        <f>O77-O33</f>
        <v>20584.68551772865</v>
      </c>
      <c r="F110" s="40">
        <f>P77-P33</f>
        <v>27941.763504054048</v>
      </c>
      <c r="G110" s="39"/>
      <c r="H110" s="40"/>
      <c r="I110" s="40"/>
      <c r="J110" s="40"/>
      <c r="K110" s="40"/>
      <c r="L110" s="39">
        <f>SUM(M110:P110)</f>
        <v>60198.38111717036</v>
      </c>
      <c r="M110" s="40">
        <f t="shared" si="91"/>
        <v>5042.536106480001</v>
      </c>
      <c r="N110" s="40">
        <f t="shared" si="91"/>
        <v>6629.395988907655</v>
      </c>
      <c r="O110" s="40">
        <f t="shared" si="91"/>
        <v>20584.68551772865</v>
      </c>
      <c r="P110" s="40">
        <f t="shared" si="91"/>
        <v>27941.763504054048</v>
      </c>
    </row>
    <row r="111" spans="1:16" ht="12.75">
      <c r="A111" s="4" t="s">
        <v>29</v>
      </c>
      <c r="B111" s="39">
        <f>L88-L44</f>
        <v>52401.24058177532</v>
      </c>
      <c r="C111" s="40">
        <f aca="true" t="shared" si="92" ref="C111:K111">M88-M44</f>
        <v>24422.144180322066</v>
      </c>
      <c r="D111" s="40">
        <f t="shared" si="92"/>
        <v>-10069.829609180677</v>
      </c>
      <c r="E111" s="40">
        <f t="shared" si="92"/>
        <v>25910.243802532554</v>
      </c>
      <c r="F111" s="40">
        <f t="shared" si="92"/>
        <v>12138.682208100916</v>
      </c>
      <c r="G111" s="39">
        <f t="shared" si="92"/>
        <v>133598.40050751343</v>
      </c>
      <c r="H111" s="40">
        <f t="shared" si="92"/>
        <v>104421.27940771077</v>
      </c>
      <c r="I111" s="40">
        <f t="shared" si="92"/>
        <v>-1300.3514561968623</v>
      </c>
      <c r="J111" s="40">
        <f t="shared" si="92"/>
        <v>47533.53643206088</v>
      </c>
      <c r="K111" s="40">
        <f t="shared" si="92"/>
        <v>-17056.063876061467</v>
      </c>
      <c r="L111" s="39">
        <f>SUM(M111:P111)</f>
        <v>185999.64108928817</v>
      </c>
      <c r="M111" s="40">
        <f t="shared" si="91"/>
        <v>128843.42358803283</v>
      </c>
      <c r="N111" s="40">
        <f t="shared" si="91"/>
        <v>-11370.18106537754</v>
      </c>
      <c r="O111" s="40">
        <f t="shared" si="91"/>
        <v>73443.78023459343</v>
      </c>
      <c r="P111" s="40">
        <f t="shared" si="91"/>
        <v>-4917.381667960552</v>
      </c>
    </row>
  </sheetData>
  <sheetProtection/>
  <mergeCells count="125">
    <mergeCell ref="Q79:Q80"/>
    <mergeCell ref="R79:U79"/>
    <mergeCell ref="V79:V80"/>
    <mergeCell ref="W79:Z79"/>
    <mergeCell ref="Q78:U78"/>
    <mergeCell ref="V78:Z78"/>
    <mergeCell ref="A78:A80"/>
    <mergeCell ref="B78:F78"/>
    <mergeCell ref="G78:K78"/>
    <mergeCell ref="L78:P78"/>
    <mergeCell ref="L79:L80"/>
    <mergeCell ref="M79:P79"/>
    <mergeCell ref="B79:B80"/>
    <mergeCell ref="C79:F79"/>
    <mergeCell ref="G79:G80"/>
    <mergeCell ref="H79:K79"/>
    <mergeCell ref="V57:V58"/>
    <mergeCell ref="W57:Z57"/>
    <mergeCell ref="G68:G69"/>
    <mergeCell ref="H68:K68"/>
    <mergeCell ref="L68:L69"/>
    <mergeCell ref="M68:P68"/>
    <mergeCell ref="G57:G58"/>
    <mergeCell ref="H57:K57"/>
    <mergeCell ref="L57:L58"/>
    <mergeCell ref="M57:P57"/>
    <mergeCell ref="A67:A69"/>
    <mergeCell ref="B67:F67"/>
    <mergeCell ref="G67:K67"/>
    <mergeCell ref="L67:P67"/>
    <mergeCell ref="Q67:U67"/>
    <mergeCell ref="V67:Z67"/>
    <mergeCell ref="B68:B69"/>
    <mergeCell ref="C68:F68"/>
    <mergeCell ref="Q68:Q69"/>
    <mergeCell ref="R68:U68"/>
    <mergeCell ref="V68:V69"/>
    <mergeCell ref="W68:Z68"/>
    <mergeCell ref="Q57:Q58"/>
    <mergeCell ref="R57:U57"/>
    <mergeCell ref="G34:K34"/>
    <mergeCell ref="B35:B36"/>
    <mergeCell ref="C35:F35"/>
    <mergeCell ref="G35:G36"/>
    <mergeCell ref="B47:B48"/>
    <mergeCell ref="G56:K56"/>
    <mergeCell ref="L56:P56"/>
    <mergeCell ref="Q56:U56"/>
    <mergeCell ref="A47:A48"/>
    <mergeCell ref="C47:E47"/>
    <mergeCell ref="A34:A36"/>
    <mergeCell ref="B34:F34"/>
    <mergeCell ref="A56:A58"/>
    <mergeCell ref="B56:F56"/>
    <mergeCell ref="B57:B58"/>
    <mergeCell ref="C57:F57"/>
    <mergeCell ref="V56:Z56"/>
    <mergeCell ref="L12:P12"/>
    <mergeCell ref="Q12:U12"/>
    <mergeCell ref="V12:Z12"/>
    <mergeCell ref="L13:L14"/>
    <mergeCell ref="M13:P13"/>
    <mergeCell ref="Q13:Q14"/>
    <mergeCell ref="R13:U13"/>
    <mergeCell ref="V13:V14"/>
    <mergeCell ref="M24:P24"/>
    <mergeCell ref="Q24:Q25"/>
    <mergeCell ref="R24:U24"/>
    <mergeCell ref="W13:Z13"/>
    <mergeCell ref="L23:P23"/>
    <mergeCell ref="Q23:U23"/>
    <mergeCell ref="V23:Z23"/>
    <mergeCell ref="V24:V25"/>
    <mergeCell ref="W24:Z24"/>
    <mergeCell ref="L24:L25"/>
    <mergeCell ref="A4:A5"/>
    <mergeCell ref="B4:D4"/>
    <mergeCell ref="B12:F12"/>
    <mergeCell ref="G12:K12"/>
    <mergeCell ref="B13:B14"/>
    <mergeCell ref="C13:F13"/>
    <mergeCell ref="G13:G14"/>
    <mergeCell ref="L34:P34"/>
    <mergeCell ref="Q34:U34"/>
    <mergeCell ref="V34:Z34"/>
    <mergeCell ref="L35:L36"/>
    <mergeCell ref="M35:P35"/>
    <mergeCell ref="Q35:Q36"/>
    <mergeCell ref="R35:U35"/>
    <mergeCell ref="V35:V36"/>
    <mergeCell ref="W35:Z35"/>
    <mergeCell ref="H35:K35"/>
    <mergeCell ref="H13:K13"/>
    <mergeCell ref="A23:A25"/>
    <mergeCell ref="B23:F23"/>
    <mergeCell ref="G23:K23"/>
    <mergeCell ref="B24:B25"/>
    <mergeCell ref="C24:F24"/>
    <mergeCell ref="G24:G25"/>
    <mergeCell ref="H24:K24"/>
    <mergeCell ref="A12:A14"/>
    <mergeCell ref="A92:A94"/>
    <mergeCell ref="A99:A101"/>
    <mergeCell ref="B99:F99"/>
    <mergeCell ref="G99:K99"/>
    <mergeCell ref="B100:B101"/>
    <mergeCell ref="C100:F100"/>
    <mergeCell ref="G100:G101"/>
    <mergeCell ref="H100:K100"/>
    <mergeCell ref="B92:F92"/>
    <mergeCell ref="G92:K92"/>
    <mergeCell ref="L106:P106"/>
    <mergeCell ref="L107:L108"/>
    <mergeCell ref="M107:P107"/>
    <mergeCell ref="B93:B94"/>
    <mergeCell ref="C93:F93"/>
    <mergeCell ref="G93:G94"/>
    <mergeCell ref="H93:K93"/>
    <mergeCell ref="A106:A108"/>
    <mergeCell ref="B106:F106"/>
    <mergeCell ref="G106:K106"/>
    <mergeCell ref="B107:B108"/>
    <mergeCell ref="C107:F107"/>
    <mergeCell ref="G107:G108"/>
    <mergeCell ref="H107:K10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1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74" customWidth="1"/>
    <col min="3" max="3" width="9.140625" style="80" customWidth="1"/>
    <col min="4" max="6" width="9.140625" style="74" customWidth="1"/>
    <col min="7" max="7" width="9.140625" style="87" customWidth="1"/>
    <col min="8" max="16384" width="9.140625" style="7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M35"/>
  <sheetViews>
    <sheetView tabSelected="1" view="pageBreakPreview" zoomScale="85" zoomScaleSheetLayoutView="85" zoomScalePageLayoutView="0" workbookViewId="0" topLeftCell="A3">
      <selection activeCell="D25" sqref="D25"/>
    </sheetView>
  </sheetViews>
  <sheetFormatPr defaultColWidth="9.140625" defaultRowHeight="12.75"/>
  <cols>
    <col min="1" max="1" width="7.57421875" style="74" customWidth="1"/>
    <col min="2" max="2" width="48.421875" style="74" customWidth="1"/>
    <col min="3" max="3" width="11.140625" style="80" customWidth="1"/>
    <col min="4" max="5" width="20.8515625" style="74" customWidth="1"/>
    <col min="6" max="6" width="54.7109375" style="74" customWidth="1"/>
    <col min="7" max="7" width="10.421875" style="87" customWidth="1"/>
    <col min="8" max="16384" width="9.140625" style="74" customWidth="1"/>
  </cols>
  <sheetData>
    <row r="1" spans="1:6" ht="12.75">
      <c r="A1" s="73"/>
      <c r="B1" s="73"/>
      <c r="C1" s="79"/>
      <c r="D1" s="73"/>
      <c r="E1" s="73"/>
      <c r="F1" s="78" t="s">
        <v>87</v>
      </c>
    </row>
    <row r="2" spans="1:6" ht="12.75">
      <c r="A2" s="73"/>
      <c r="B2" s="73"/>
      <c r="C2" s="79"/>
      <c r="D2" s="73"/>
      <c r="E2" s="73"/>
      <c r="F2" s="78" t="s">
        <v>88</v>
      </c>
    </row>
    <row r="3" spans="1:6" ht="12.75">
      <c r="A3" s="73"/>
      <c r="B3" s="73"/>
      <c r="C3" s="79"/>
      <c r="D3" s="73"/>
      <c r="E3" s="73"/>
      <c r="F3" s="73"/>
    </row>
    <row r="4" spans="1:6" ht="42.75" customHeight="1">
      <c r="A4" s="113" t="s">
        <v>86</v>
      </c>
      <c r="B4" s="113"/>
      <c r="C4" s="113"/>
      <c r="D4" s="113"/>
      <c r="E4" s="113"/>
      <c r="F4" s="113"/>
    </row>
    <row r="5" spans="1:6" ht="12.75">
      <c r="A5" s="73"/>
      <c r="B5" s="73"/>
      <c r="C5" s="79"/>
      <c r="D5" s="73"/>
      <c r="E5" s="73"/>
      <c r="F5" s="73"/>
    </row>
    <row r="6" spans="1:6" ht="19.5" customHeight="1">
      <c r="A6" s="114" t="s">
        <v>80</v>
      </c>
      <c r="B6" s="115" t="s">
        <v>85</v>
      </c>
      <c r="C6" s="117" t="s">
        <v>69</v>
      </c>
      <c r="D6" s="119" t="s">
        <v>101</v>
      </c>
      <c r="E6" s="120"/>
      <c r="F6" s="121" t="s">
        <v>1</v>
      </c>
    </row>
    <row r="7" spans="1:6" ht="16.5" customHeight="1">
      <c r="A7" s="114"/>
      <c r="B7" s="116"/>
      <c r="C7" s="118"/>
      <c r="D7" s="75" t="s">
        <v>99</v>
      </c>
      <c r="E7" s="75" t="s">
        <v>0</v>
      </c>
      <c r="F7" s="121"/>
    </row>
    <row r="8" spans="1:6" ht="25.5">
      <c r="A8" s="81" t="s">
        <v>70</v>
      </c>
      <c r="B8" s="82" t="s">
        <v>3</v>
      </c>
      <c r="C8" s="89" t="s">
        <v>2</v>
      </c>
      <c r="D8" s="95">
        <f>D9+D25</f>
        <v>31566.1</v>
      </c>
      <c r="E8" s="95">
        <f>E9+E25</f>
        <v>36697.585499999994</v>
      </c>
      <c r="F8" s="99"/>
    </row>
    <row r="9" spans="1:7" ht="25.5">
      <c r="A9" s="81" t="s">
        <v>71</v>
      </c>
      <c r="B9" s="82" t="s">
        <v>4</v>
      </c>
      <c r="C9" s="89" t="s">
        <v>2</v>
      </c>
      <c r="D9" s="90">
        <f>D10+D16</f>
        <v>28759.1</v>
      </c>
      <c r="E9" s="90">
        <f>E10+E16</f>
        <v>33257.756989999994</v>
      </c>
      <c r="F9" s="99"/>
      <c r="G9" s="88"/>
    </row>
    <row r="10" spans="1:7" ht="15" customHeight="1">
      <c r="A10" s="81" t="s">
        <v>72</v>
      </c>
      <c r="B10" s="82" t="s">
        <v>94</v>
      </c>
      <c r="C10" s="89" t="s">
        <v>2</v>
      </c>
      <c r="D10" s="91">
        <f>SUM(D11,D13,D15)</f>
        <v>12778</v>
      </c>
      <c r="E10" s="91">
        <f>SUM(E11,E13,E15)</f>
        <v>9356.650249999999</v>
      </c>
      <c r="F10" s="77"/>
      <c r="G10" s="88"/>
    </row>
    <row r="11" spans="1:7" ht="68.25" customHeight="1" hidden="1">
      <c r="A11" s="76" t="s">
        <v>5</v>
      </c>
      <c r="B11" s="85" t="s">
        <v>6</v>
      </c>
      <c r="C11" s="89" t="s">
        <v>2</v>
      </c>
      <c r="D11" s="92">
        <f>'[6]Лист1'!$G$8</f>
        <v>181.4</v>
      </c>
      <c r="E11" s="93">
        <f>'[7]Лист2'!$J$19/1000</f>
        <v>91.04261</v>
      </c>
      <c r="F11" s="99"/>
      <c r="G11" s="88"/>
    </row>
    <row r="12" spans="1:7" ht="39.75" customHeight="1" hidden="1">
      <c r="A12" s="76" t="s">
        <v>7</v>
      </c>
      <c r="B12" s="85" t="s">
        <v>8</v>
      </c>
      <c r="C12" s="89" t="s">
        <v>2</v>
      </c>
      <c r="D12" s="93" t="s">
        <v>97</v>
      </c>
      <c r="E12" s="93"/>
      <c r="F12" s="77"/>
      <c r="G12" s="88"/>
    </row>
    <row r="13" spans="1:7" ht="36.75" customHeight="1" hidden="1">
      <c r="A13" s="76" t="s">
        <v>9</v>
      </c>
      <c r="B13" s="85" t="s">
        <v>75</v>
      </c>
      <c r="C13" s="89" t="s">
        <v>2</v>
      </c>
      <c r="D13" s="92">
        <f>'[6]Лист1'!$G$12</f>
        <v>5842.9</v>
      </c>
      <c r="E13" s="93">
        <f>'[7]Лист2'!$J$20/1000</f>
        <v>9178.973039999999</v>
      </c>
      <c r="F13" s="122" t="s">
        <v>103</v>
      </c>
      <c r="G13" s="88"/>
    </row>
    <row r="14" spans="1:7" ht="47.25" customHeight="1" hidden="1">
      <c r="A14" s="76" t="s">
        <v>81</v>
      </c>
      <c r="B14" s="85" t="s">
        <v>8</v>
      </c>
      <c r="C14" s="89" t="s">
        <v>2</v>
      </c>
      <c r="D14" s="93" t="s">
        <v>97</v>
      </c>
      <c r="E14" s="93"/>
      <c r="F14" s="77"/>
      <c r="G14" s="88"/>
    </row>
    <row r="15" spans="1:7" ht="12.75" hidden="1">
      <c r="A15" s="76" t="s">
        <v>10</v>
      </c>
      <c r="B15" s="85" t="s">
        <v>82</v>
      </c>
      <c r="C15" s="89" t="s">
        <v>2</v>
      </c>
      <c r="D15" s="92">
        <f>'[6]Лист1'!$G$11</f>
        <v>6753.7</v>
      </c>
      <c r="E15" s="93">
        <f>'[7]Лист2'!$J$21/1000</f>
        <v>86.6346</v>
      </c>
      <c r="F15" s="77"/>
      <c r="G15" s="88"/>
    </row>
    <row r="16" spans="1:7" ht="25.5">
      <c r="A16" s="81" t="s">
        <v>11</v>
      </c>
      <c r="B16" s="82" t="s">
        <v>95</v>
      </c>
      <c r="C16" s="89" t="s">
        <v>2</v>
      </c>
      <c r="D16" s="91">
        <f>SUM(D17:D23)</f>
        <v>15981.1</v>
      </c>
      <c r="E16" s="91">
        <f>SUM(E17:E23)</f>
        <v>23901.10674</v>
      </c>
      <c r="F16" s="77"/>
      <c r="G16" s="88"/>
    </row>
    <row r="17" spans="1:7" ht="25.5" customHeight="1" hidden="1">
      <c r="A17" s="76" t="s">
        <v>12</v>
      </c>
      <c r="B17" s="85" t="s">
        <v>102</v>
      </c>
      <c r="C17" s="89" t="s">
        <v>2</v>
      </c>
      <c r="D17" s="92">
        <f>'[6]Лист1'!$G$15</f>
        <v>1729.7</v>
      </c>
      <c r="E17" s="93">
        <f>'[7]Лист2'!$J$27/1000</f>
        <v>1527.85417</v>
      </c>
      <c r="F17" s="77"/>
      <c r="G17" s="88"/>
    </row>
    <row r="18" spans="1:7" ht="14.25" customHeight="1" hidden="1">
      <c r="A18" s="76" t="s">
        <v>13</v>
      </c>
      <c r="B18" s="85" t="s">
        <v>76</v>
      </c>
      <c r="C18" s="89" t="s">
        <v>2</v>
      </c>
      <c r="D18" s="92">
        <f>'[6]Лист1'!$G$13</f>
        <v>1764.6</v>
      </c>
      <c r="E18" s="93">
        <f>'[7]Лист2'!$J$25/1000</f>
        <v>2433.48278</v>
      </c>
      <c r="F18" s="77"/>
      <c r="G18" s="88"/>
    </row>
    <row r="19" spans="1:7" ht="15.75" customHeight="1" hidden="1">
      <c r="A19" s="76" t="s">
        <v>89</v>
      </c>
      <c r="B19" s="85" t="s">
        <v>83</v>
      </c>
      <c r="C19" s="89" t="s">
        <v>2</v>
      </c>
      <c r="D19" s="92">
        <f>'[6]Лист1'!$G$31</f>
        <v>2636</v>
      </c>
      <c r="E19" s="93"/>
      <c r="F19" s="77"/>
      <c r="G19" s="88"/>
    </row>
    <row r="20" spans="1:7" ht="14.25" customHeight="1" hidden="1">
      <c r="A20" s="76" t="s">
        <v>90</v>
      </c>
      <c r="B20" s="85" t="s">
        <v>77</v>
      </c>
      <c r="C20" s="89" t="s">
        <v>2</v>
      </c>
      <c r="D20" s="92">
        <f>'[6]Лист1'!$G$39</f>
        <v>1023.6</v>
      </c>
      <c r="E20" s="93"/>
      <c r="F20" s="77"/>
      <c r="G20" s="88"/>
    </row>
    <row r="21" spans="1:7" ht="14.25" customHeight="1" hidden="1">
      <c r="A21" s="76" t="s">
        <v>91</v>
      </c>
      <c r="B21" s="85" t="s">
        <v>78</v>
      </c>
      <c r="C21" s="89" t="s">
        <v>2</v>
      </c>
      <c r="D21" s="92"/>
      <c r="E21" s="93">
        <f>'[7]Лист2'!$J$26/1000</f>
        <v>698.39773</v>
      </c>
      <c r="F21" s="77"/>
      <c r="G21" s="88"/>
    </row>
    <row r="22" spans="1:7" ht="63.75" hidden="1">
      <c r="A22" s="76" t="s">
        <v>92</v>
      </c>
      <c r="B22" s="85" t="s">
        <v>98</v>
      </c>
      <c r="C22" s="89" t="s">
        <v>2</v>
      </c>
      <c r="D22" s="92">
        <f>'[6]Лист1'!$G$36</f>
        <v>4746.8</v>
      </c>
      <c r="E22" s="93">
        <f>'[7]Лист2'!$J$28/1000</f>
        <v>14277.72448</v>
      </c>
      <c r="F22" s="123" t="s">
        <v>104</v>
      </c>
      <c r="G22" s="88"/>
    </row>
    <row r="23" spans="1:7" ht="16.5" customHeight="1" hidden="1">
      <c r="A23" s="76" t="s">
        <v>93</v>
      </c>
      <c r="B23" s="85" t="s">
        <v>84</v>
      </c>
      <c r="C23" s="89" t="s">
        <v>2</v>
      </c>
      <c r="D23" s="92">
        <f>'[6]Лист1'!$G$14</f>
        <v>4080.4</v>
      </c>
      <c r="E23" s="93">
        <f>'[7]Лист2'!$J$24/1000</f>
        <v>4963.64758</v>
      </c>
      <c r="F23" s="77"/>
      <c r="G23" s="88"/>
    </row>
    <row r="24" spans="1:7" ht="38.25" hidden="1">
      <c r="A24" s="76" t="s">
        <v>73</v>
      </c>
      <c r="B24" s="77" t="s">
        <v>96</v>
      </c>
      <c r="C24" s="89" t="s">
        <v>2</v>
      </c>
      <c r="D24" s="93" t="s">
        <v>97</v>
      </c>
      <c r="E24" s="93"/>
      <c r="F24" s="77"/>
      <c r="G24" s="88"/>
    </row>
    <row r="25" spans="1:7" ht="41.25" customHeight="1">
      <c r="A25" s="81" t="s">
        <v>74</v>
      </c>
      <c r="B25" s="82" t="s">
        <v>14</v>
      </c>
      <c r="C25" s="89" t="s">
        <v>2</v>
      </c>
      <c r="D25" s="90">
        <f>D26</f>
        <v>2807</v>
      </c>
      <c r="E25" s="90">
        <f>E26</f>
        <v>3439.8285100000003</v>
      </c>
      <c r="F25" s="77"/>
      <c r="G25" s="88"/>
    </row>
    <row r="26" spans="1:7" ht="51.75" customHeight="1" hidden="1">
      <c r="A26" s="81" t="s">
        <v>79</v>
      </c>
      <c r="B26" s="82" t="s">
        <v>15</v>
      </c>
      <c r="C26" s="89" t="s">
        <v>2</v>
      </c>
      <c r="D26" s="94">
        <f>'[6]Лист1'!$G$44</f>
        <v>2807</v>
      </c>
      <c r="E26" s="94">
        <f>'[7]Лист2'!$H$55/1000</f>
        <v>3439.8285100000003</v>
      </c>
      <c r="F26" s="77"/>
      <c r="G26" s="88"/>
    </row>
    <row r="27" spans="1:6" ht="12.75">
      <c r="A27" s="73"/>
      <c r="B27" s="73"/>
      <c r="C27" s="79"/>
      <c r="D27" s="73"/>
      <c r="E27" s="73"/>
      <c r="F27" s="73"/>
    </row>
    <row r="28" ht="58.5" customHeight="1"/>
    <row r="29" ht="12.75"/>
    <row r="30" spans="1:13" s="84" customFormat="1" ht="15">
      <c r="A30" s="112" t="s">
        <v>100</v>
      </c>
      <c r="B30" s="112"/>
      <c r="C30" s="112"/>
      <c r="D30" s="112"/>
      <c r="E30" s="112"/>
      <c r="F30" s="112"/>
      <c r="G30" s="87"/>
      <c r="H30" s="74"/>
      <c r="I30" s="74"/>
      <c r="J30" s="74"/>
      <c r="K30" s="74"/>
      <c r="L30" s="74"/>
      <c r="M30" s="74"/>
    </row>
    <row r="31" ht="12.75"/>
    <row r="32" spans="3:6" ht="12.75">
      <c r="C32" s="86"/>
      <c r="D32" s="83"/>
      <c r="F32" s="98"/>
    </row>
    <row r="33" spans="3:4" ht="12.75">
      <c r="C33" s="86"/>
      <c r="D33" s="83"/>
    </row>
    <row r="34" spans="3:5" ht="12.75">
      <c r="C34" s="86"/>
      <c r="D34" s="97"/>
      <c r="E34" s="83"/>
    </row>
    <row r="35" spans="3:4" ht="12.75">
      <c r="C35" s="86"/>
      <c r="D35" s="96"/>
    </row>
    <row r="41" ht="12.75"/>
  </sheetData>
  <sheetProtection/>
  <mergeCells count="7">
    <mergeCell ref="A30:F30"/>
    <mergeCell ref="A4:F4"/>
    <mergeCell ref="A6:A7"/>
    <mergeCell ref="B6:B7"/>
    <mergeCell ref="C6:C7"/>
    <mergeCell ref="D6:E6"/>
    <mergeCell ref="F6:F7"/>
  </mergeCells>
  <printOptions/>
  <pageMargins left="0.7086614173228347" right="0.55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Ирбелтхаева Юлия Дмитриевна</cp:lastModifiedBy>
  <cp:lastPrinted>2013-10-03T05:31:10Z</cp:lastPrinted>
  <dcterms:created xsi:type="dcterms:W3CDTF">1996-10-08T23:32:33Z</dcterms:created>
  <dcterms:modified xsi:type="dcterms:W3CDTF">2014-04-01T05:48:05Z</dcterms:modified>
  <cp:category/>
  <cp:version/>
  <cp:contentType/>
  <cp:contentStatus/>
</cp:coreProperties>
</file>